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hidePivotFieldList="1" autoCompressPictures="0"/>
  <mc:AlternateContent xmlns:mc="http://schemas.openxmlformats.org/markup-compatibility/2006">
    <mc:Choice Requires="x15">
      <x15ac:absPath xmlns:x15ac="http://schemas.microsoft.com/office/spreadsheetml/2010/11/ac" url="/Users/chrish/Library/CloudStorage/Dropbox/20 - Barratt - Man/20.3 - Cown Top Lane, Rochdale/"/>
    </mc:Choice>
  </mc:AlternateContent>
  <xr:revisionPtr revIDLastSave="0" documentId="13_ncr:20001_{9C7F63DE-4DFA-C54E-BE87-F94CC786B41E}" xr6:coauthVersionLast="47" xr6:coauthVersionMax="47" xr10:uidLastSave="{00000000-0000-0000-0000-000000000000}"/>
  <bookViews>
    <workbookView xWindow="0" yWindow="500" windowWidth="34100" windowHeight="20260" xr2:uid="{98E70EEB-7D19-4949-81ED-DAE68E5A6DBA}"/>
  </bookViews>
  <sheets>
    <sheet name="Breakdown Summary" sheetId="14" r:id="rId1"/>
    <sheet name="Dwelling Mix" sheetId="58" r:id="rId2"/>
    <sheet name="PHDWH                         " sheetId="74" r:id="rId3"/>
    <sheet name="B Regs Timetable" sheetId="72" state="hidden" r:id="rId4"/>
    <sheet name="DWH " sheetId="75" state="hidden" r:id="rId5"/>
    <sheet name="BARRATT - CLASSIC PARCEL" sheetId="77" state="hidden" r:id="rId6"/>
    <sheet name="BARRATT - CONTEMPORARY PARCEL" sheetId="76" state="hidden" r:id="rId7"/>
    <sheet name="1. Affordable" sheetId="45" r:id="rId8"/>
    <sheet name="2. CIL" sheetId="44" r:id="rId9"/>
    <sheet name="3. S106" sheetId="46" r:id="rId10"/>
    <sheet name="4. Off Site Wks" sheetId="27" r:id="rId11"/>
    <sheet name="5. Cut &amp; Fill" sheetId="17" r:id="rId12"/>
    <sheet name="6. Additional Road" sheetId="1" r:id="rId13"/>
    <sheet name="7. POS" sheetId="8" r:id="rId14"/>
    <sheet name="8a. Foul Sewers" sheetId="10" r:id="rId15"/>
    <sheet name="FW Drainage Take-off" sheetId="78" r:id="rId16"/>
    <sheet name="8b. SW Attenuation" sheetId="56" r:id="rId17"/>
    <sheet name="SW Drainage Takeoff" sheetId="79" r:id="rId18"/>
    <sheet name="9. Abnormal Founds" sheetId="9" r:id="rId19"/>
    <sheet name="10. Retaining Walls" sheetId="41" r:id="rId20"/>
    <sheet name="11. Services" sheetId="34" r:id="rId21"/>
    <sheet name="12. Externals" sheetId="55" r:id="rId22"/>
    <sheet name="gabion calculator 3M" sheetId="73" r:id="rId23"/>
    <sheet name="Road Construction" sheetId="68" r:id="rId24"/>
    <sheet name="Footpath Construction" sheetId="69" r:id="rId25"/>
    <sheet name="Surface Water Sewers" sheetId="70" r:id="rId26"/>
    <sheet name="Foul Water Sewers" sheetId="71" r:id="rId27"/>
    <sheet name="Drainage N1" sheetId="62" r:id="rId28"/>
    <sheet name="Drainage take off N1" sheetId="65" r:id="rId29"/>
    <sheet name="Drainage S1" sheetId="67" r:id="rId30"/>
    <sheet name="Drainage take off S1" sheetId="66" r:id="rId31"/>
    <sheet name="Attenuation Drainage" sheetId="63" r:id="rId32"/>
    <sheet name="Block &amp; beam floor" sheetId="64" r:id="rId33"/>
  </sheets>
  <externalReferences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</externalReferences>
  <definedNames>
    <definedName name="_Bill_FW_Sewers10" localSheetId="21">#REF!</definedName>
    <definedName name="_Bill_FW_Sewers10" localSheetId="16">#REF!</definedName>
    <definedName name="_Bill_FW_Sewers10" localSheetId="28">#REF!</definedName>
    <definedName name="_Bill_FW_Sewers10" localSheetId="30">#REF!</definedName>
    <definedName name="_Bill_FW_Sewers10" localSheetId="22">#REF!</definedName>
    <definedName name="_Bill_FW_Sewers10">#REF!</definedName>
    <definedName name="_Bill_FW_Sewers9" localSheetId="21">#REF!</definedName>
    <definedName name="_Bill_FW_Sewers9" localSheetId="16">#REF!</definedName>
    <definedName name="_Bill_FW_Sewers9" localSheetId="30">#REF!</definedName>
    <definedName name="_Bill_FW_Sewers9" localSheetId="22">#REF!</definedName>
    <definedName name="_Bill_FW_Sewers9">#REF!</definedName>
    <definedName name="_Bill_LandscapingAndStServices" localSheetId="21">#REF!</definedName>
    <definedName name="_Bill_LandscapingAndStServices" localSheetId="16">#REF!</definedName>
    <definedName name="_Bill_LandscapingAndStServices" localSheetId="30">#REF!</definedName>
    <definedName name="_Bill_LandscapingAndStServices" localSheetId="22">#REF!</definedName>
    <definedName name="_Bill_LandscapingAndStServices">#REF!</definedName>
    <definedName name="_Bill_Stage1.1" localSheetId="21">#REF!</definedName>
    <definedName name="_Bill_Stage1.1" localSheetId="16">#REF!</definedName>
    <definedName name="_Bill_Stage1.1" localSheetId="30">#REF!</definedName>
    <definedName name="_Bill_Stage1.1">#REF!</definedName>
    <definedName name="_Bill_Stage1.2" localSheetId="21">#REF!</definedName>
    <definedName name="_Bill_Stage1.2" localSheetId="16">#REF!</definedName>
    <definedName name="_Bill_Stage1.2" localSheetId="30">#REF!</definedName>
    <definedName name="_Bill_Stage1.2">#REF!</definedName>
    <definedName name="_Bill_Stage2.3" localSheetId="21">#REF!</definedName>
    <definedName name="_Bill_Stage2.3" localSheetId="16">#REF!</definedName>
    <definedName name="_Bill_Stage2.3" localSheetId="30">#REF!</definedName>
    <definedName name="_Bill_Stage2.3">#REF!</definedName>
    <definedName name="_Bill_Stage3.4" localSheetId="21">#REF!</definedName>
    <definedName name="_Bill_Stage3.4" localSheetId="16">#REF!</definedName>
    <definedName name="_Bill_Stage3.4" localSheetId="30">#REF!</definedName>
    <definedName name="_Bill_Stage3.4">#REF!</definedName>
    <definedName name="_Bill_SW_Sewers6" localSheetId="21">#REF!</definedName>
    <definedName name="_Bill_SW_Sewers6" localSheetId="16">#REF!</definedName>
    <definedName name="_Bill_SW_Sewers6" localSheetId="30">#REF!</definedName>
    <definedName name="_Bill_SW_Sewers6">#REF!</definedName>
    <definedName name="_Bill_SW_Sewers7" localSheetId="21">#REF!</definedName>
    <definedName name="_Bill_SW_Sewers7" localSheetId="16">#REF!</definedName>
    <definedName name="_Bill_SW_Sewers7" localSheetId="30">#REF!</definedName>
    <definedName name="_Bill_SW_Sewers7">#REF!</definedName>
    <definedName name="_Bill_SW_Sewers8" localSheetId="21">#REF!</definedName>
    <definedName name="_Bill_SW_Sewers8" localSheetId="16">#REF!</definedName>
    <definedName name="_Bill_SW_Sewers8" localSheetId="30">#REF!</definedName>
    <definedName name="_Bill_SW_Sewers8">#REF!</definedName>
    <definedName name="_Fill" localSheetId="21" hidden="1">#REF!</definedName>
    <definedName name="_Fill" localSheetId="16" hidden="1">#REF!</definedName>
    <definedName name="_Fill" localSheetId="30" hidden="1">#REF!</definedName>
    <definedName name="_Fill" localSheetId="15" hidden="1">#REF!</definedName>
    <definedName name="_Fill" localSheetId="17" hidden="1">#REF!</definedName>
    <definedName name="_Fill" hidden="1">#REF!</definedName>
    <definedName name="_Input_Carriageway" localSheetId="21">#REF!</definedName>
    <definedName name="_Input_Carriageway" localSheetId="16">#REF!</definedName>
    <definedName name="_Input_Carriageway" localSheetId="30">#REF!</definedName>
    <definedName name="_Input_Carriageway">#REF!</definedName>
    <definedName name="_Input_Footpaths" localSheetId="21">#REF!</definedName>
    <definedName name="_Input_Footpaths" localSheetId="16">#REF!</definedName>
    <definedName name="_Input_Footpaths" localSheetId="30">#REF!</definedName>
    <definedName name="_Input_Footpaths">#REF!</definedName>
    <definedName name="_Input_General" localSheetId="21">#REF!</definedName>
    <definedName name="_Input_General" localSheetId="16">#REF!</definedName>
    <definedName name="_Input_General" localSheetId="30">#REF!</definedName>
    <definedName name="_Input_General">#REF!</definedName>
    <definedName name="_Key1" localSheetId="21" hidden="1">#REF!</definedName>
    <definedName name="_Key1" localSheetId="16" hidden="1">#REF!</definedName>
    <definedName name="_Key1" localSheetId="30" hidden="1">#REF!</definedName>
    <definedName name="_Key1" hidden="1">#REF!</definedName>
    <definedName name="_Order1" hidden="1">255</definedName>
    <definedName name="_Order2" hidden="1">0</definedName>
    <definedName name="_Sort" localSheetId="21" hidden="1">#REF!</definedName>
    <definedName name="_Sort" localSheetId="16" hidden="1">#REF!</definedName>
    <definedName name="_Sort" localSheetId="28" hidden="1">#REF!</definedName>
    <definedName name="_Sort" localSheetId="30" hidden="1">#REF!</definedName>
    <definedName name="_Sort" localSheetId="22" hidden="1">#REF!</definedName>
    <definedName name="_Sort" hidden="1">#REF!</definedName>
    <definedName name="_Summary_Adopt" localSheetId="21">#REF!</definedName>
    <definedName name="_Summary_Adopt" localSheetId="16">#REF!</definedName>
    <definedName name="_Summary_Adopt" localSheetId="30">#REF!</definedName>
    <definedName name="_Summary_Adopt" localSheetId="22">#REF!</definedName>
    <definedName name="_Summary_Adopt">#REF!</definedName>
    <definedName name="_Summary_NonAdopt" localSheetId="21">#REF!</definedName>
    <definedName name="_Summary_NonAdopt" localSheetId="16">#REF!</definedName>
    <definedName name="_Summary_NonAdopt" localSheetId="30">#REF!</definedName>
    <definedName name="_Summary_NonAdopt" localSheetId="22">#REF!</definedName>
    <definedName name="_Summary_NonAdopt">#REF!</definedName>
    <definedName name="a">#REF!</definedName>
    <definedName name="aaa">#REF!</definedName>
    <definedName name="address" localSheetId="21">#REF!</definedName>
    <definedName name="address" localSheetId="16">#REF!</definedName>
    <definedName name="address" localSheetId="30">#REF!</definedName>
    <definedName name="address">#REF!</definedName>
    <definedName name="address1" localSheetId="21">#REF!</definedName>
    <definedName name="address1" localSheetId="16">#REF!</definedName>
    <definedName name="address1" localSheetId="30">#REF!</definedName>
    <definedName name="address1">#REF!</definedName>
    <definedName name="address2" localSheetId="21">#REF!</definedName>
    <definedName name="address2" localSheetId="16">#REF!</definedName>
    <definedName name="address2" localSheetId="30">#REF!</definedName>
    <definedName name="address2">#REF!</definedName>
    <definedName name="address3" localSheetId="21">#REF!</definedName>
    <definedName name="address3" localSheetId="16">#REF!</definedName>
    <definedName name="address3" localSheetId="30">#REF!</definedName>
    <definedName name="address3">#REF!</definedName>
    <definedName name="address4" localSheetId="21">#REF!</definedName>
    <definedName name="address4" localSheetId="16">#REF!</definedName>
    <definedName name="address4" localSheetId="30">#REF!</definedName>
    <definedName name="address4">#REF!</definedName>
    <definedName name="address5" localSheetId="21">#REF!</definedName>
    <definedName name="address5" localSheetId="16">#REF!</definedName>
    <definedName name="address5" localSheetId="30">#REF!</definedName>
    <definedName name="address5">#REF!</definedName>
    <definedName name="address6" localSheetId="21">#REF!</definedName>
    <definedName name="address6" localSheetId="16">#REF!</definedName>
    <definedName name="address6" localSheetId="30">#REF!</definedName>
    <definedName name="address6">#REF!</definedName>
    <definedName name="BS_1_3" localSheetId="21">[1]Broadsheet!$B$2:$AI$37,[1]Broadsheet!#REF!,[1]Broadsheet!$B$38:$AI$63</definedName>
    <definedName name="BS_1_3" localSheetId="16">[1]Broadsheet!$B$2:$AI$37,[1]Broadsheet!#REF!,[1]Broadsheet!$B$38:$AI$63</definedName>
    <definedName name="BS_1_3" localSheetId="28">[1]Broadsheet!$B$2:$AI$37,[1]Broadsheet!#REF!,[1]Broadsheet!$B$38:$AI$63</definedName>
    <definedName name="BS_1_3" localSheetId="30">[1]Broadsheet!$B$2:$AI$37,[1]Broadsheet!#REF!,[1]Broadsheet!$B$38:$AI$63</definedName>
    <definedName name="BS_1_3" localSheetId="22">[1]Broadsheet!$B$2:$AI$37,[1]Broadsheet!#REF!,[1]Broadsheet!$B$38:$AI$63</definedName>
    <definedName name="BS_1_3">[1]Broadsheet!$B$2:$AI$37,[1]Broadsheet!#REF!,[1]Broadsheet!$B$38:$AI$63</definedName>
    <definedName name="BS_1_4" localSheetId="21">[1]Broadsheet!$B$2:$AI$37,[1]Broadsheet!#REF!,[1]Broadsheet!$B$38:$AI$63,[1]Broadsheet!#REF!</definedName>
    <definedName name="BS_1_4" localSheetId="16">[1]Broadsheet!$B$2:$AI$37,[1]Broadsheet!#REF!,[1]Broadsheet!$B$38:$AI$63,[1]Broadsheet!#REF!</definedName>
    <definedName name="BS_1_4" localSheetId="3">[1]Broadsheet!$B$2:$AI$37,[1]Broadsheet!#REF!,[1]Broadsheet!$B$38:$AI$63,[1]Broadsheet!#REF!</definedName>
    <definedName name="BS_1_4" localSheetId="28">[1]Broadsheet!$B$2:$AI$37,[1]Broadsheet!#REF!,[1]Broadsheet!$B$38:$AI$63,[1]Broadsheet!#REF!</definedName>
    <definedName name="BS_1_4" localSheetId="30">[1]Broadsheet!$B$2:$AI$37,[1]Broadsheet!#REF!,[1]Broadsheet!$B$38:$AI$63,[1]Broadsheet!#REF!</definedName>
    <definedName name="BS_1_4" localSheetId="22">[1]Broadsheet!$B$2:$AI$37,[1]Broadsheet!#REF!,[1]Broadsheet!$B$38:$AI$63,[1]Broadsheet!#REF!</definedName>
    <definedName name="BS_1_4">[1]Broadsheet!$B$2:$AI$37,[1]Broadsheet!#REF!,[1]Broadsheet!$B$38:$AI$63,[1]Broadsheet!#REF!</definedName>
    <definedName name="BS_1_5" localSheetId="21">[1]Broadsheet!$B$2:$AI$37,[1]Broadsheet!#REF!,[1]Broadsheet!$B$38:$AI$63,[1]Broadsheet!#REF!,[1]Broadsheet!$B$114:$AI$167</definedName>
    <definedName name="BS_1_5" localSheetId="16">[1]Broadsheet!$B$2:$AI$37,[1]Broadsheet!#REF!,[1]Broadsheet!$B$38:$AI$63,[1]Broadsheet!#REF!,[1]Broadsheet!$B$114:$AI$167</definedName>
    <definedName name="BS_1_5" localSheetId="28">[1]Broadsheet!$B$2:$AI$37,[1]Broadsheet!#REF!,[1]Broadsheet!$B$38:$AI$63,[1]Broadsheet!#REF!,[1]Broadsheet!$B$114:$AI$167</definedName>
    <definedName name="BS_1_5" localSheetId="30">[1]Broadsheet!$B$2:$AI$37,[1]Broadsheet!#REF!,[1]Broadsheet!$B$38:$AI$63,[1]Broadsheet!#REF!,[1]Broadsheet!$B$114:$AI$167</definedName>
    <definedName name="BS_1_5" localSheetId="22">[1]Broadsheet!$B$2:$AI$37,[1]Broadsheet!#REF!,[1]Broadsheet!$B$38:$AI$63,[1]Broadsheet!#REF!,[1]Broadsheet!$B$114:$AI$167</definedName>
    <definedName name="BS_1_5">[1]Broadsheet!$B$2:$AI$37,[1]Broadsheet!#REF!,[1]Broadsheet!$B$38:$AI$63,[1]Broadsheet!#REF!,[1]Broadsheet!$B$114:$AI$167</definedName>
    <definedName name="Budget" localSheetId="21">#REF!</definedName>
    <definedName name="Budget" localSheetId="16">#REF!</definedName>
    <definedName name="Budget" localSheetId="28">#REF!</definedName>
    <definedName name="Budget" localSheetId="30">#REF!</definedName>
    <definedName name="Budget" localSheetId="22">#REF!</definedName>
    <definedName name="Budget">#REF!</definedName>
    <definedName name="BWICTot" localSheetId="27">'[2]C. BWIC Services'!$F$355</definedName>
    <definedName name="BWICTot" localSheetId="29">'[2]C. BWIC Services'!$F$355</definedName>
    <definedName name="BWICTot" localSheetId="28">'[3]C. BWIC Services'!$F$355</definedName>
    <definedName name="BWICTot" localSheetId="30">'[3]C. BWIC Services'!$F$355</definedName>
    <definedName name="BWICTot" localSheetId="1">'[4]C. BWIC Services'!$F$355</definedName>
    <definedName name="BWICTot">'[5]C. BWIC Services'!$F$355</definedName>
    <definedName name="calendar" localSheetId="21">[1]Data!#REF!</definedName>
    <definedName name="calendar" localSheetId="30">[1]Data!#REF!</definedName>
    <definedName name="calendar" localSheetId="22">[1]Data!#REF!</definedName>
    <definedName name="calendar">[1]Data!#REF!</definedName>
    <definedName name="CASH1" localSheetId="3">#REF!</definedName>
    <definedName name="CASH1" localSheetId="15">#REF!</definedName>
    <definedName name="CASH1" localSheetId="17">#REF!</definedName>
    <definedName name="CASH1">#REF!</definedName>
    <definedName name="CASH2" localSheetId="3">#REF!</definedName>
    <definedName name="CASH2" localSheetId="15">#REF!</definedName>
    <definedName name="CASH2" localSheetId="17">#REF!</definedName>
    <definedName name="CASH2">#REF!</definedName>
    <definedName name="CASH3" localSheetId="3">#REF!</definedName>
    <definedName name="CASH3" localSheetId="15">#REF!</definedName>
    <definedName name="CASH3" localSheetId="17">#REF!</definedName>
    <definedName name="CASH3">#REF!</definedName>
    <definedName name="CATEGORY" localSheetId="21">#REF!</definedName>
    <definedName name="CATEGORY" localSheetId="16">#REF!</definedName>
    <definedName name="CATEGORY" localSheetId="28">#REF!</definedName>
    <definedName name="CATEGORY" localSheetId="30">#REF!</definedName>
    <definedName name="CATEGORY" localSheetId="22">#REF!</definedName>
    <definedName name="CATEGORY">#REF!</definedName>
    <definedName name="CB" localSheetId="15">#REF!</definedName>
    <definedName name="CB" localSheetId="17">#REF!</definedName>
    <definedName name="CB">#REF!</definedName>
    <definedName name="Ceramic">#REF!</definedName>
    <definedName name="Check">#REF!</definedName>
    <definedName name="Check1">'[6]Summary Sheet'!#REF!</definedName>
    <definedName name="CITY_GRANT" localSheetId="21">#REF!</definedName>
    <definedName name="CITY_GRANT" localSheetId="16">#REF!</definedName>
    <definedName name="CITY_GRANT" localSheetId="28">#REF!</definedName>
    <definedName name="CITY_GRANT" localSheetId="30">#REF!</definedName>
    <definedName name="CITY_GRANT" localSheetId="22">#REF!</definedName>
    <definedName name="CITY_GRANT">#REF!</definedName>
    <definedName name="Contractor" localSheetId="21">#REF!</definedName>
    <definedName name="Contractor" localSheetId="16">#REF!</definedName>
    <definedName name="Contractor" localSheetId="30">#REF!</definedName>
    <definedName name="Contractor" localSheetId="22">#REF!</definedName>
    <definedName name="Contractor">#REF!</definedName>
    <definedName name="contractVal" localSheetId="21">#REF!</definedName>
    <definedName name="contractVal" localSheetId="16">#REF!</definedName>
    <definedName name="contractVal" localSheetId="30">#REF!</definedName>
    <definedName name="contractVal">#REF!</definedName>
    <definedName name="contractVal2" localSheetId="21">#REF!</definedName>
    <definedName name="contractVal2" localSheetId="16">#REF!</definedName>
    <definedName name="contractVal2" localSheetId="30">#REF!</definedName>
    <definedName name="contractVal2">#REF!</definedName>
    <definedName name="CRAIG" localSheetId="15">#REF!</definedName>
    <definedName name="CRAIG" localSheetId="17">#REF!</definedName>
    <definedName name="CRAIG">#REF!</definedName>
    <definedName name="DATA_INPUT" localSheetId="21">#REF!</definedName>
    <definedName name="DATA_INPUT" localSheetId="16">#REF!</definedName>
    <definedName name="DATA_INPUT" localSheetId="30">#REF!</definedName>
    <definedName name="DATA_INPUT">#REF!</definedName>
    <definedName name="devCode" localSheetId="21">#REF!</definedName>
    <definedName name="devCode" localSheetId="16">#REF!</definedName>
    <definedName name="devCode" localSheetId="30">#REF!</definedName>
    <definedName name="devCode">#REF!</definedName>
    <definedName name="DEVEXTOTAL" localSheetId="28">'[7]Development Expenses'!$H$5</definedName>
    <definedName name="DEVEXTOTAL" localSheetId="30">'[7]Development Expenses'!$H$5</definedName>
    <definedName name="DEVEXTOTAL" localSheetId="22">'[8]Development Expenses'!$H$5</definedName>
    <definedName name="DEVEXTOTAL">'[9]Development Expenses'!$H$5</definedName>
    <definedName name="devName" localSheetId="21">#REF!</definedName>
    <definedName name="devName" localSheetId="16">#REF!</definedName>
    <definedName name="devName" localSheetId="28">#REF!</definedName>
    <definedName name="devName" localSheetId="30">#REF!</definedName>
    <definedName name="devName" localSheetId="22">#REF!</definedName>
    <definedName name="devName">#REF!</definedName>
    <definedName name="devno" localSheetId="21">#REF!</definedName>
    <definedName name="devno" localSheetId="16">#REF!</definedName>
    <definedName name="devno" localSheetId="30">#REF!</definedName>
    <definedName name="devno" localSheetId="22">#REF!</definedName>
    <definedName name="devno">#REF!</definedName>
    <definedName name="Divisions" localSheetId="28">[10]Divisions!$A$1:$A$14</definedName>
    <definedName name="Divisions" localSheetId="30">[10]Divisions!$A$1:$A$14</definedName>
    <definedName name="Divisions">[11]Divisions!$A$1:$A$14</definedName>
    <definedName name="EXTERNALSPLOT" localSheetId="28">[7]Externals!$H$4</definedName>
    <definedName name="EXTERNALSPLOT" localSheetId="30">[7]Externals!$H$4</definedName>
    <definedName name="EXTERNALSPLOT" localSheetId="22">[8]Externals!$H$4</definedName>
    <definedName name="EXTERNALSPLOT">[9]Externals!$H$4</definedName>
    <definedName name="EXTERNALSSERVICES" localSheetId="28">[7]Externals!$H$86</definedName>
    <definedName name="EXTERNALSSERVICES" localSheetId="30">[7]Externals!$H$86</definedName>
    <definedName name="EXTERNALSSERVICES" localSheetId="22">[8]Externals!$H$84</definedName>
    <definedName name="EXTERNALSSERVICES">[9]Externals!$H$86</definedName>
    <definedName name="extservices">[12]Externals!$H$60</definedName>
    <definedName name="ff">[8]Summary!$F$66</definedName>
    <definedName name="FOOTPATHS" localSheetId="15">#REF!</definedName>
    <definedName name="FOOTPATHS" localSheetId="17">#REF!</definedName>
    <definedName name="FOOTPATHS">#N/A</definedName>
    <definedName name="FOOTSUPERTOTAL">[8]Summary!$C$16</definedName>
    <definedName name="FRONT_SHEET1" localSheetId="15">#REF!</definedName>
    <definedName name="FRONT_SHEET1" localSheetId="17">#REF!</definedName>
    <definedName name="FRONT_SHEET1">#REF!</definedName>
    <definedName name="FS_1" localSheetId="21">'[13] Land'!#REF!</definedName>
    <definedName name="FS_1" localSheetId="16">'[14] Land'!#REF!</definedName>
    <definedName name="FS_1" localSheetId="3">'[13] Land'!#REF!</definedName>
    <definedName name="FS_1" localSheetId="28">'[15] Land'!#REF!</definedName>
    <definedName name="FS_1" localSheetId="30">'[15] Land'!#REF!</definedName>
    <definedName name="FS_1">'[13] Land'!#REF!</definedName>
    <definedName name="FS_10" localSheetId="21">#REF!</definedName>
    <definedName name="FS_10" localSheetId="16">#REF!</definedName>
    <definedName name="FS_10" localSheetId="28">#REF!</definedName>
    <definedName name="FS_10" localSheetId="30">#REF!</definedName>
    <definedName name="FS_10" localSheetId="22">#REF!</definedName>
    <definedName name="FS_10">#REF!</definedName>
    <definedName name="FS_100" localSheetId="28">'[7] Land'!$G$122</definedName>
    <definedName name="FS_100" localSheetId="30">'[7] Land'!$G$122</definedName>
    <definedName name="FS_100" localSheetId="22">'[8] Land'!$G$119</definedName>
    <definedName name="FS_100">'[9] Land'!$G$122</definedName>
    <definedName name="FS_11" localSheetId="21">#REF!</definedName>
    <definedName name="FS_11" localSheetId="16">#REF!</definedName>
    <definedName name="FS_11" localSheetId="28">#REF!</definedName>
    <definedName name="FS_11" localSheetId="30">#REF!</definedName>
    <definedName name="FS_11" localSheetId="22">#REF!</definedName>
    <definedName name="FS_11">#REF!</definedName>
    <definedName name="FS_12" localSheetId="21">#REF!</definedName>
    <definedName name="FS_12" localSheetId="16">#REF!</definedName>
    <definedName name="FS_12" localSheetId="30">#REF!</definedName>
    <definedName name="FS_12" localSheetId="22">#REF!</definedName>
    <definedName name="FS_12">#REF!</definedName>
    <definedName name="FS_13" localSheetId="28">'[7] Land'!$G$32</definedName>
    <definedName name="FS_13" localSheetId="30">'[7] Land'!$G$32</definedName>
    <definedName name="FS_13" localSheetId="22">'[8] Land'!$G$29</definedName>
    <definedName name="FS_13">'[9] Land'!$G$32</definedName>
    <definedName name="FS_14" localSheetId="28">'[7] Land'!$G$33</definedName>
    <definedName name="FS_14" localSheetId="30">'[7] Land'!$G$33</definedName>
    <definedName name="FS_14" localSheetId="22">'[8] Land'!$G$30</definedName>
    <definedName name="FS_14">'[9] Land'!$G$33</definedName>
    <definedName name="FS_15" localSheetId="28">'[7] Land'!$G$34</definedName>
    <definedName name="FS_15" localSheetId="30">'[7] Land'!$G$34</definedName>
    <definedName name="FS_15" localSheetId="22">'[8] Land'!$G$31</definedName>
    <definedName name="FS_15">'[9] Land'!$G$34</definedName>
    <definedName name="FS_16" localSheetId="28">'[7] Land'!$G$35</definedName>
    <definedName name="FS_16" localSheetId="30">'[7] Land'!$G$35</definedName>
    <definedName name="FS_16" localSheetId="22">'[8] Land'!$G$32</definedName>
    <definedName name="FS_16">'[9] Land'!$G$35</definedName>
    <definedName name="FS_17" localSheetId="28">'[7] Land'!$G$36</definedName>
    <definedName name="FS_17" localSheetId="30">'[7] Land'!$G$36</definedName>
    <definedName name="FS_17" localSheetId="22">'[8] Land'!$G$33</definedName>
    <definedName name="FS_17">'[9] Land'!$G$36</definedName>
    <definedName name="FS_18" localSheetId="28">'[7] Land'!$G$37</definedName>
    <definedName name="FS_18" localSheetId="30">'[7] Land'!$G$37</definedName>
    <definedName name="FS_18" localSheetId="22">'[8] Land'!$G$34</definedName>
    <definedName name="FS_18">'[9] Land'!$G$37</definedName>
    <definedName name="FS_19" localSheetId="28">'[7] Land'!$G$38</definedName>
    <definedName name="FS_19" localSheetId="30">'[7] Land'!$G$38</definedName>
    <definedName name="FS_19" localSheetId="22">'[8] Land'!$G$35</definedName>
    <definedName name="FS_19">'[9] Land'!$G$38</definedName>
    <definedName name="FS_2" localSheetId="21">#REF!</definedName>
    <definedName name="FS_2" localSheetId="16">#REF!</definedName>
    <definedName name="FS_2" localSheetId="28">#REF!</definedName>
    <definedName name="FS_2" localSheetId="30">#REF!</definedName>
    <definedName name="FS_2" localSheetId="22">#REF!</definedName>
    <definedName name="FS_2">#REF!</definedName>
    <definedName name="FS_20" localSheetId="28">'[7] Land'!$G$39</definedName>
    <definedName name="FS_20" localSheetId="30">'[7] Land'!$G$39</definedName>
    <definedName name="FS_20" localSheetId="22">'[8] Land'!$G$36</definedName>
    <definedName name="FS_20">'[9] Land'!$G$39</definedName>
    <definedName name="FS_21" localSheetId="28">'[7] Land'!$G$40</definedName>
    <definedName name="FS_21" localSheetId="30">'[7] Land'!$G$40</definedName>
    <definedName name="FS_21" localSheetId="22">'[8] Land'!$G$37</definedName>
    <definedName name="FS_21">'[9] Land'!$G$40</definedName>
    <definedName name="FS_22" localSheetId="28">'[7] Land'!$G$41</definedName>
    <definedName name="FS_22" localSheetId="30">'[7] Land'!$G$41</definedName>
    <definedName name="FS_22" localSheetId="22">'[8] Land'!$G$38</definedName>
    <definedName name="FS_22">'[9] Land'!$G$41</definedName>
    <definedName name="FS_23" localSheetId="28">'[7] Land'!$G$42</definedName>
    <definedName name="FS_23" localSheetId="30">'[7] Land'!$G$42</definedName>
    <definedName name="FS_23" localSheetId="22">'[8] Land'!$G$39</definedName>
    <definedName name="FS_23">'[9] Land'!$G$42</definedName>
    <definedName name="FS_24" localSheetId="28">'[7] Land'!$G$43</definedName>
    <definedName name="FS_24" localSheetId="30">'[7] Land'!$G$43</definedName>
    <definedName name="FS_24" localSheetId="22">'[8] Land'!$G$40</definedName>
    <definedName name="FS_24">'[9] Land'!$G$43</definedName>
    <definedName name="FS_25" localSheetId="28">'[7] Land'!$G$44</definedName>
    <definedName name="FS_25" localSheetId="30">'[7] Land'!$G$44</definedName>
    <definedName name="FS_25" localSheetId="22">'[8] Land'!$G$41</definedName>
    <definedName name="FS_25">'[9] Land'!$G$44</definedName>
    <definedName name="FS_26" localSheetId="28">'[7] Land'!$G$45</definedName>
    <definedName name="FS_26" localSheetId="30">'[7] Land'!$G$45</definedName>
    <definedName name="FS_26" localSheetId="22">'[8] Land'!$G$42</definedName>
    <definedName name="FS_26">'[9] Land'!$G$45</definedName>
    <definedName name="FS_27" localSheetId="28">'[7] Land'!$G$46</definedName>
    <definedName name="FS_27" localSheetId="30">'[7] Land'!$G$46</definedName>
    <definedName name="FS_27" localSheetId="22">'[8] Land'!$G$43</definedName>
    <definedName name="FS_27">'[9] Land'!$G$46</definedName>
    <definedName name="FS_28" localSheetId="28">'[7] Land'!$G$47</definedName>
    <definedName name="FS_28" localSheetId="30">'[7] Land'!$G$47</definedName>
    <definedName name="FS_28" localSheetId="22">'[8] Land'!$G$44</definedName>
    <definedName name="FS_28">'[9] Land'!$G$47</definedName>
    <definedName name="FS_29" localSheetId="28">'[7] Land'!$G$48</definedName>
    <definedName name="FS_29" localSheetId="30">'[7] Land'!$G$48</definedName>
    <definedName name="FS_29" localSheetId="22">'[8] Land'!$G$45</definedName>
    <definedName name="FS_29">'[9] Land'!$G$48</definedName>
    <definedName name="FS_3" localSheetId="21">#REF!</definedName>
    <definedName name="FS_3" localSheetId="16">#REF!</definedName>
    <definedName name="FS_3" localSheetId="28">#REF!</definedName>
    <definedName name="FS_3" localSheetId="30">#REF!</definedName>
    <definedName name="FS_3" localSheetId="22">#REF!</definedName>
    <definedName name="FS_3">#REF!</definedName>
    <definedName name="FS_30" localSheetId="28">'[7] Land'!$G$49</definedName>
    <definedName name="FS_30" localSheetId="30">'[7] Land'!$G$49</definedName>
    <definedName name="FS_30" localSheetId="22">'[8] Land'!$G$46</definedName>
    <definedName name="FS_30">'[9] Land'!$G$49</definedName>
    <definedName name="FS_31" localSheetId="28">'[7] Land'!$G$50</definedName>
    <definedName name="FS_31" localSheetId="30">'[7] Land'!$G$50</definedName>
    <definedName name="FS_31" localSheetId="22">'[8] Land'!$G$47</definedName>
    <definedName name="FS_31">'[9] Land'!$G$50</definedName>
    <definedName name="FS_32" localSheetId="28">'[7] Land'!$G$51</definedName>
    <definedName name="FS_32" localSheetId="30">'[7] Land'!$G$51</definedName>
    <definedName name="FS_32" localSheetId="22">'[8] Land'!$G$48</definedName>
    <definedName name="FS_32">'[9] Land'!$G$51</definedName>
    <definedName name="FS_33" localSheetId="28">'[7] Land'!$G$52</definedName>
    <definedName name="FS_33" localSheetId="30">'[7] Land'!$G$52</definedName>
    <definedName name="FS_33" localSheetId="22">'[8] Land'!$G$49</definedName>
    <definedName name="FS_33">'[9] Land'!$G$52</definedName>
    <definedName name="FS_34" localSheetId="28">'[7] Land'!$G$53</definedName>
    <definedName name="FS_34" localSheetId="30">'[7] Land'!$G$53</definedName>
    <definedName name="FS_34" localSheetId="22">'[8] Land'!$G$50</definedName>
    <definedName name="FS_34">'[9] Land'!$G$53</definedName>
    <definedName name="FS_35" localSheetId="28">'[7] Land'!$G$54</definedName>
    <definedName name="FS_35" localSheetId="30">'[7] Land'!$G$54</definedName>
    <definedName name="FS_35" localSheetId="22">'[8] Land'!$G$51</definedName>
    <definedName name="FS_35">'[9] Land'!$G$54</definedName>
    <definedName name="FS_36" localSheetId="28">'[7] Land'!$G$55</definedName>
    <definedName name="FS_36" localSheetId="30">'[7] Land'!$G$55</definedName>
    <definedName name="FS_36" localSheetId="22">'[8] Land'!$G$52</definedName>
    <definedName name="FS_36">'[9] Land'!$G$55</definedName>
    <definedName name="FS_37" localSheetId="28">'[7] Land'!$G$57</definedName>
    <definedName name="FS_37" localSheetId="30">'[7] Land'!$G$57</definedName>
    <definedName name="FS_37" localSheetId="22">'[8] Land'!$G$54</definedName>
    <definedName name="FS_37">'[9] Land'!$G$57</definedName>
    <definedName name="FS_38" localSheetId="28">'[7] Land'!$G$58</definedName>
    <definedName name="FS_38" localSheetId="30">'[7] Land'!$G$58</definedName>
    <definedName name="FS_38" localSheetId="22">'[8] Land'!$G$55</definedName>
    <definedName name="FS_38">'[9] Land'!$G$58</definedName>
    <definedName name="FS_39" localSheetId="28">'[7] Land'!$G$59</definedName>
    <definedName name="FS_39" localSheetId="30">'[7] Land'!$G$59</definedName>
    <definedName name="FS_39" localSheetId="22">'[8] Land'!$G$56</definedName>
    <definedName name="FS_39">'[9] Land'!$G$59</definedName>
    <definedName name="FS_4" localSheetId="21">#REF!</definedName>
    <definedName name="FS_4" localSheetId="16">#REF!</definedName>
    <definedName name="FS_4" localSheetId="28">#REF!</definedName>
    <definedName name="FS_4" localSheetId="30">#REF!</definedName>
    <definedName name="FS_4" localSheetId="22">#REF!</definedName>
    <definedName name="FS_4">#REF!</definedName>
    <definedName name="FS_40" localSheetId="28">'[7] Land'!$G$60</definedName>
    <definedName name="FS_40" localSheetId="30">'[7] Land'!$G$60</definedName>
    <definedName name="FS_40" localSheetId="22">'[8] Land'!$G$57</definedName>
    <definedName name="FS_40">'[9] Land'!$G$60</definedName>
    <definedName name="FS_41" localSheetId="28">'[7] Land'!$G$61</definedName>
    <definedName name="FS_41" localSheetId="30">'[7] Land'!$G$61</definedName>
    <definedName name="FS_41" localSheetId="22">'[8] Land'!$G$58</definedName>
    <definedName name="FS_41">'[9] Land'!$G$61</definedName>
    <definedName name="FS_42" localSheetId="28">'[7] Land'!$G$62</definedName>
    <definedName name="FS_42" localSheetId="30">'[7] Land'!$G$62</definedName>
    <definedName name="FS_42" localSheetId="22">'[8] Land'!$G$59</definedName>
    <definedName name="FS_42">'[9] Land'!$G$62</definedName>
    <definedName name="FS_43" localSheetId="28">'[7] Land'!$G$63</definedName>
    <definedName name="FS_43" localSheetId="30">'[7] Land'!$G$63</definedName>
    <definedName name="FS_43" localSheetId="22">'[8] Land'!$G$60</definedName>
    <definedName name="FS_43">'[9] Land'!$G$63</definedName>
    <definedName name="FS_44" localSheetId="28">'[7] Land'!$G$64</definedName>
    <definedName name="FS_44" localSheetId="30">'[7] Land'!$G$64</definedName>
    <definedName name="FS_44" localSheetId="22">'[8] Land'!$G$61</definedName>
    <definedName name="FS_44">'[9] Land'!$G$64</definedName>
    <definedName name="FS_45" localSheetId="28">'[7] Land'!$G$65</definedName>
    <definedName name="FS_45" localSheetId="30">'[7] Land'!$G$65</definedName>
    <definedName name="FS_45" localSheetId="22">'[8] Land'!$G$62</definedName>
    <definedName name="FS_45">'[9] Land'!$G$65</definedName>
    <definedName name="FS_46" localSheetId="28">'[7] Land'!$G$66</definedName>
    <definedName name="FS_46" localSheetId="30">'[7] Land'!$G$66</definedName>
    <definedName name="FS_46" localSheetId="22">'[8] Land'!$G$63</definedName>
    <definedName name="FS_46">'[9] Land'!$G$66</definedName>
    <definedName name="FS_47" localSheetId="28">'[7] Land'!$G$67</definedName>
    <definedName name="FS_47" localSheetId="30">'[7] Land'!$G$67</definedName>
    <definedName name="FS_47" localSheetId="22">'[8] Land'!$G$64</definedName>
    <definedName name="FS_47">'[9] Land'!$G$67</definedName>
    <definedName name="FS_48" localSheetId="28">'[7] Land'!$G$68</definedName>
    <definedName name="FS_48" localSheetId="30">'[7] Land'!$G$68</definedName>
    <definedName name="FS_48" localSheetId="22">'[8] Land'!$G$65</definedName>
    <definedName name="FS_48">'[9] Land'!$G$68</definedName>
    <definedName name="FS_49" localSheetId="28">'[7] Land'!$G$69</definedName>
    <definedName name="FS_49" localSheetId="30">'[7] Land'!$G$69</definedName>
    <definedName name="FS_49" localSheetId="22">'[8] Land'!$G$66</definedName>
    <definedName name="FS_49">'[9] Land'!$G$69</definedName>
    <definedName name="FS_5" localSheetId="21">#REF!</definedName>
    <definedName name="FS_5" localSheetId="16">#REF!</definedName>
    <definedName name="FS_5" localSheetId="28">#REF!</definedName>
    <definedName name="FS_5" localSheetId="30">#REF!</definedName>
    <definedName name="FS_5" localSheetId="22">#REF!</definedName>
    <definedName name="FS_5">#REF!</definedName>
    <definedName name="FS_50" localSheetId="28">'[7] Land'!$G$70</definedName>
    <definedName name="FS_50" localSheetId="30">'[7] Land'!$G$70</definedName>
    <definedName name="FS_50" localSheetId="22">'[8] Land'!$G$67</definedName>
    <definedName name="FS_50">'[9] Land'!$G$70</definedName>
    <definedName name="FS_51" localSheetId="28">'[7] Land'!$G$71</definedName>
    <definedName name="FS_51" localSheetId="30">'[7] Land'!$G$71</definedName>
    <definedName name="FS_51" localSheetId="22">'[8] Land'!$G$68</definedName>
    <definedName name="FS_51">'[9] Land'!$G$71</definedName>
    <definedName name="FS_52" localSheetId="28">'[7] Land'!$G$72</definedName>
    <definedName name="FS_52" localSheetId="30">'[7] Land'!$G$72</definedName>
    <definedName name="FS_52" localSheetId="22">'[8] Land'!$G$69</definedName>
    <definedName name="FS_52">'[9] Land'!$G$72</definedName>
    <definedName name="FS_53" localSheetId="28">'[7] Land'!$G$74</definedName>
    <definedName name="FS_53" localSheetId="30">'[7] Land'!$G$74</definedName>
    <definedName name="FS_53" localSheetId="22">'[8] Land'!$G$71</definedName>
    <definedName name="FS_53">'[9] Land'!$G$74</definedName>
    <definedName name="FS_54" localSheetId="28">'[7] Land'!$G$75</definedName>
    <definedName name="FS_54" localSheetId="30">'[7] Land'!$G$75</definedName>
    <definedName name="FS_54" localSheetId="22">'[8] Land'!$G$72</definedName>
    <definedName name="FS_54">'[9] Land'!$G$75</definedName>
    <definedName name="FS_55" localSheetId="28">'[7] Land'!$G$76</definedName>
    <definedName name="FS_55" localSheetId="30">'[7] Land'!$G$76</definedName>
    <definedName name="FS_55" localSheetId="22">'[8] Land'!$G$73</definedName>
    <definedName name="FS_55">'[9] Land'!$G$76</definedName>
    <definedName name="FS_56" localSheetId="28">'[7] Land'!$G$77</definedName>
    <definedName name="FS_56" localSheetId="30">'[7] Land'!$G$77</definedName>
    <definedName name="FS_56" localSheetId="22">'[8] Land'!$G$74</definedName>
    <definedName name="FS_56">'[9] Land'!$G$77</definedName>
    <definedName name="FS_57" localSheetId="28">'[7] Land'!$G$78</definedName>
    <definedName name="FS_57" localSheetId="30">'[7] Land'!$G$78</definedName>
    <definedName name="FS_57" localSheetId="22">'[8] Land'!$G$75</definedName>
    <definedName name="FS_57">'[9] Land'!$G$78</definedName>
    <definedName name="FS_58" localSheetId="28">'[7] Land'!$G$79</definedName>
    <definedName name="FS_58" localSheetId="30">'[7] Land'!$G$79</definedName>
    <definedName name="FS_58" localSheetId="22">'[8] Land'!$G$76</definedName>
    <definedName name="FS_58">'[9] Land'!$G$79</definedName>
    <definedName name="FS_59" localSheetId="28">'[7] Land'!$G$82</definedName>
    <definedName name="FS_59" localSheetId="30">'[7] Land'!$G$82</definedName>
    <definedName name="FS_59" localSheetId="22">'[8] Land'!$G$77</definedName>
    <definedName name="FS_59">'[9] Land'!$G$82</definedName>
    <definedName name="FS_6" localSheetId="21">#REF!</definedName>
    <definedName name="FS_6" localSheetId="16">#REF!</definedName>
    <definedName name="FS_6" localSheetId="28">#REF!</definedName>
    <definedName name="FS_6" localSheetId="30">#REF!</definedName>
    <definedName name="FS_6" localSheetId="22">#REF!</definedName>
    <definedName name="FS_6">#REF!</definedName>
    <definedName name="FS_60" localSheetId="28">'[7] Land'!$G$83</definedName>
    <definedName name="FS_60" localSheetId="30">'[7] Land'!$G$83</definedName>
    <definedName name="FS_60" localSheetId="22">'[8] Land'!$G$78</definedName>
    <definedName name="FS_60">'[9] Land'!$G$83</definedName>
    <definedName name="FS_61" localSheetId="28">'[7] Land'!$G$84</definedName>
    <definedName name="FS_61" localSheetId="30">'[7] Land'!$G$84</definedName>
    <definedName name="FS_61" localSheetId="22">'[8] Land'!$G$79</definedName>
    <definedName name="FS_61">'[9] Land'!$G$84</definedName>
    <definedName name="FS_62" localSheetId="28">'[7] Land'!$G$80</definedName>
    <definedName name="FS_62" localSheetId="30">'[7] Land'!$G$80</definedName>
    <definedName name="FS_62" localSheetId="22">'[8] Land'!$G$80</definedName>
    <definedName name="FS_62">'[9] Land'!$G$80</definedName>
    <definedName name="FS_63" localSheetId="28">'[7] Land'!$G$81</definedName>
    <definedName name="FS_63" localSheetId="30">'[7] Land'!$G$81</definedName>
    <definedName name="FS_63" localSheetId="22">'[8] Land'!$G$81</definedName>
    <definedName name="FS_63">'[9] Land'!$G$81</definedName>
    <definedName name="FS_64" localSheetId="28">'[7] Land'!$G$85</definedName>
    <definedName name="FS_64" localSheetId="30">'[7] Land'!$G$85</definedName>
    <definedName name="FS_64" localSheetId="22">'[8] Land'!$G$82</definedName>
    <definedName name="FS_64">'[9] Land'!$G$85</definedName>
    <definedName name="FS_65" localSheetId="28">'[7] Land'!$G$86</definedName>
    <definedName name="FS_65" localSheetId="30">'[7] Land'!$G$86</definedName>
    <definedName name="FS_65" localSheetId="22">'[8] Land'!$G$83</definedName>
    <definedName name="FS_65">'[9] Land'!$G$86</definedName>
    <definedName name="FS_66" localSheetId="28">'[7] Land'!$G$87</definedName>
    <definedName name="FS_66" localSheetId="30">'[7] Land'!$G$87</definedName>
    <definedName name="FS_66" localSheetId="22">'[8] Land'!$G$84</definedName>
    <definedName name="FS_66">'[9] Land'!$G$87</definedName>
    <definedName name="FS_67" localSheetId="28">'[7] Land'!$G$88</definedName>
    <definedName name="FS_67" localSheetId="30">'[7] Land'!$G$88</definedName>
    <definedName name="FS_67" localSheetId="22">'[8] Land'!$G$85</definedName>
    <definedName name="FS_67">'[9] Land'!$G$88</definedName>
    <definedName name="FS_68" localSheetId="28">'[7] Land'!$G$89</definedName>
    <definedName name="FS_68" localSheetId="30">'[7] Land'!$G$89</definedName>
    <definedName name="FS_68" localSheetId="22">'[8] Land'!$G$86</definedName>
    <definedName name="FS_68">'[9] Land'!$G$89</definedName>
    <definedName name="FS_69" localSheetId="28">'[7] Land'!$G$90</definedName>
    <definedName name="FS_69" localSheetId="30">'[7] Land'!$G$90</definedName>
    <definedName name="FS_69" localSheetId="22">'[8] Land'!$G$87</definedName>
    <definedName name="FS_69">'[9] Land'!$G$90</definedName>
    <definedName name="FS_7" localSheetId="21">#REF!</definedName>
    <definedName name="FS_7" localSheetId="16">#REF!</definedName>
    <definedName name="FS_7" localSheetId="28">#REF!</definedName>
    <definedName name="FS_7" localSheetId="30">#REF!</definedName>
    <definedName name="FS_7" localSheetId="22">#REF!</definedName>
    <definedName name="FS_7">#REF!</definedName>
    <definedName name="FS_70" localSheetId="28">'[7] Land'!$G$91</definedName>
    <definedName name="FS_70" localSheetId="30">'[7] Land'!$G$91</definedName>
    <definedName name="FS_70" localSheetId="22">'[8] Land'!$G$88</definedName>
    <definedName name="FS_70">'[9] Land'!$G$91</definedName>
    <definedName name="FS_71" localSheetId="28">'[7] Land'!$G$92</definedName>
    <definedName name="FS_71" localSheetId="30">'[7] Land'!$G$92</definedName>
    <definedName name="FS_71" localSheetId="22">'[8] Land'!$G$89</definedName>
    <definedName name="FS_71">'[9] Land'!$G$92</definedName>
    <definedName name="FS_72" localSheetId="28">'[7] Land'!$G$93</definedName>
    <definedName name="FS_72" localSheetId="30">'[7] Land'!$G$93</definedName>
    <definedName name="FS_72" localSheetId="22">'[8] Land'!$G$90</definedName>
    <definedName name="FS_72">'[9] Land'!$G$93</definedName>
    <definedName name="FS_73" localSheetId="28">'[7] Land'!$G$94</definedName>
    <definedName name="FS_73" localSheetId="30">'[7] Land'!$G$94</definedName>
    <definedName name="FS_73" localSheetId="22">'[8] Land'!$G$91</definedName>
    <definedName name="FS_73">'[9] Land'!$G$94</definedName>
    <definedName name="FS_74" localSheetId="28">'[7] Land'!$G$95</definedName>
    <definedName name="FS_74" localSheetId="30">'[7] Land'!$G$95</definedName>
    <definedName name="FS_74" localSheetId="22">'[8] Land'!$G$92</definedName>
    <definedName name="FS_74">'[9] Land'!$G$95</definedName>
    <definedName name="FS_75" localSheetId="28">'[7] Land'!$G$96</definedName>
    <definedName name="FS_75" localSheetId="30">'[7] Land'!$G$96</definedName>
    <definedName name="FS_75" localSheetId="22">'[8] Land'!$G$93</definedName>
    <definedName name="FS_75">'[9] Land'!$G$96</definedName>
    <definedName name="FS_76" localSheetId="28">'[7] Land'!$G$97</definedName>
    <definedName name="FS_76" localSheetId="30">'[7] Land'!$G$97</definedName>
    <definedName name="FS_76" localSheetId="22">'[8] Land'!$G$94</definedName>
    <definedName name="FS_76">'[9] Land'!$G$97</definedName>
    <definedName name="FS_77" localSheetId="28">'[7] Land'!$G$98</definedName>
    <definedName name="FS_77" localSheetId="30">'[7] Land'!$G$98</definedName>
    <definedName name="FS_77" localSheetId="22">'[8] Land'!$G$95</definedName>
    <definedName name="FS_77">'[9] Land'!$G$98</definedName>
    <definedName name="FS_78" localSheetId="28">'[7] Land'!$G$99</definedName>
    <definedName name="FS_78" localSheetId="30">'[7] Land'!$G$99</definedName>
    <definedName name="FS_78" localSheetId="22">'[8] Land'!$G$96</definedName>
    <definedName name="FS_78">'[9] Land'!$G$99</definedName>
    <definedName name="FS_79" localSheetId="28">'[7] Land'!$G$100</definedName>
    <definedName name="FS_79" localSheetId="30">'[7] Land'!$G$100</definedName>
    <definedName name="FS_79" localSheetId="22">'[8] Land'!$G$97</definedName>
    <definedName name="FS_79">'[9] Land'!$G$100</definedName>
    <definedName name="FS_8" localSheetId="21">#REF!</definedName>
    <definedName name="FS_8" localSheetId="16">#REF!</definedName>
    <definedName name="FS_8" localSheetId="28">#REF!</definedName>
    <definedName name="FS_8" localSheetId="30">#REF!</definedName>
    <definedName name="FS_8" localSheetId="22">#REF!</definedName>
    <definedName name="FS_8">#REF!</definedName>
    <definedName name="FS_80" localSheetId="28">'[7] Land'!$G$101</definedName>
    <definedName name="FS_80" localSheetId="30">'[7] Land'!$G$101</definedName>
    <definedName name="FS_80" localSheetId="22">'[8] Land'!$G$98</definedName>
    <definedName name="FS_80">'[9] Land'!$G$101</definedName>
    <definedName name="FS_81" localSheetId="28">'[7] Land'!$G$103</definedName>
    <definedName name="FS_81" localSheetId="30">'[7] Land'!$G$103</definedName>
    <definedName name="FS_81" localSheetId="22">'[8] Land'!$G$100</definedName>
    <definedName name="FS_81">'[9] Land'!$G$103</definedName>
    <definedName name="FS_82" localSheetId="28">'[7] Land'!$G$104</definedName>
    <definedName name="FS_82" localSheetId="30">'[7] Land'!$G$104</definedName>
    <definedName name="FS_82" localSheetId="22">'[8] Land'!$G$101</definedName>
    <definedName name="FS_82">'[9] Land'!$G$104</definedName>
    <definedName name="FS_83" localSheetId="28">'[7] Land'!$G$105</definedName>
    <definedName name="FS_83" localSheetId="30">'[7] Land'!$G$105</definedName>
    <definedName name="FS_83" localSheetId="22">'[8] Land'!$G$102</definedName>
    <definedName name="FS_83">'[9] Land'!$G$105</definedName>
    <definedName name="FS_84" localSheetId="28">'[7] Land'!$G$106</definedName>
    <definedName name="FS_84" localSheetId="30">'[7] Land'!$G$106</definedName>
    <definedName name="FS_84" localSheetId="22">'[8] Land'!$G$103</definedName>
    <definedName name="FS_84">'[9] Land'!$G$106</definedName>
    <definedName name="FS_85" localSheetId="28">'[7] Land'!$G$107</definedName>
    <definedName name="FS_85" localSheetId="30">'[7] Land'!$G$107</definedName>
    <definedName name="FS_85" localSheetId="22">'[8] Land'!$G$104</definedName>
    <definedName name="FS_85">'[9] Land'!$G$107</definedName>
    <definedName name="FS_86" localSheetId="28">'[7] Land'!$G$108</definedName>
    <definedName name="FS_86" localSheetId="30">'[7] Land'!$G$108</definedName>
    <definedName name="FS_86" localSheetId="22">'[8] Land'!$G$105</definedName>
    <definedName name="FS_86">'[9] Land'!$G$108</definedName>
    <definedName name="FS_87" localSheetId="28">'[7] Land'!$G$109</definedName>
    <definedName name="FS_87" localSheetId="30">'[7] Land'!$G$109</definedName>
    <definedName name="FS_87" localSheetId="22">'[8] Land'!$G$106</definedName>
    <definedName name="FS_87">'[9] Land'!$G$109</definedName>
    <definedName name="FS_88" localSheetId="28">'[7] Land'!$G$110</definedName>
    <definedName name="FS_88" localSheetId="30">'[7] Land'!$G$110</definedName>
    <definedName name="FS_88" localSheetId="22">'[8] Land'!$G$107</definedName>
    <definedName name="FS_88">'[9] Land'!$G$110</definedName>
    <definedName name="FS_89" localSheetId="28">'[7] Land'!$G$111</definedName>
    <definedName name="FS_89" localSheetId="30">'[7] Land'!$G$111</definedName>
    <definedName name="FS_89" localSheetId="22">'[8] Land'!$G$108</definedName>
    <definedName name="FS_89">'[9] Land'!$G$111</definedName>
    <definedName name="FS_9" localSheetId="21">#REF!</definedName>
    <definedName name="FS_9" localSheetId="16">#REF!</definedName>
    <definedName name="FS_9" localSheetId="28">#REF!</definedName>
    <definedName name="FS_9" localSheetId="30">#REF!</definedName>
    <definedName name="FS_9" localSheetId="22">#REF!</definedName>
    <definedName name="FS_9">#REF!</definedName>
    <definedName name="FS_90" localSheetId="28">'[7] Land'!$G$112</definedName>
    <definedName name="FS_90" localSheetId="30">'[7] Land'!$G$112</definedName>
    <definedName name="FS_90" localSheetId="22">'[8] Land'!$G$109</definedName>
    <definedName name="FS_90">'[9] Land'!$G$112</definedName>
    <definedName name="FS_91" localSheetId="28">'[7] Land'!$G$113</definedName>
    <definedName name="FS_91" localSheetId="30">'[7] Land'!$G$113</definedName>
    <definedName name="FS_91" localSheetId="22">'[8] Land'!$G$110</definedName>
    <definedName name="FS_91">'[9] Land'!$G$113</definedName>
    <definedName name="FS_92" localSheetId="28">'[7] Land'!$G$114</definedName>
    <definedName name="FS_92" localSheetId="30">'[7] Land'!$G$114</definedName>
    <definedName name="FS_92" localSheetId="22">'[8] Land'!$G$111</definedName>
    <definedName name="FS_92">'[9] Land'!$G$114</definedName>
    <definedName name="FS_93" localSheetId="28">'[7] Land'!$G$115</definedName>
    <definedName name="FS_93" localSheetId="30">'[7] Land'!$G$115</definedName>
    <definedName name="FS_93" localSheetId="22">'[8] Land'!$G$112</definedName>
    <definedName name="FS_93">'[9] Land'!$G$115</definedName>
    <definedName name="FS_94" localSheetId="28">'[7] Land'!$G$116</definedName>
    <definedName name="FS_94" localSheetId="30">'[7] Land'!$G$116</definedName>
    <definedName name="FS_94" localSheetId="22">'[8] Land'!$G$113</definedName>
    <definedName name="FS_94">'[9] Land'!$G$116</definedName>
    <definedName name="FS_95" localSheetId="28">'[7] Land'!$G$117</definedName>
    <definedName name="FS_95" localSheetId="30">'[7] Land'!$G$117</definedName>
    <definedName name="FS_95" localSheetId="22">'[8] Land'!$G$114</definedName>
    <definedName name="FS_95">'[9] Land'!$G$117</definedName>
    <definedName name="FS_96" localSheetId="28">'[7] Land'!$G$118</definedName>
    <definedName name="FS_96" localSheetId="30">'[7] Land'!$G$118</definedName>
    <definedName name="FS_96" localSheetId="22">'[8] Land'!$G$115</definedName>
    <definedName name="FS_96">'[9] Land'!$G$118</definedName>
    <definedName name="FS_97" localSheetId="28">'[7] Land'!$G$119</definedName>
    <definedName name="FS_97" localSheetId="30">'[7] Land'!$G$119</definedName>
    <definedName name="FS_97" localSheetId="22">'[8] Land'!$G$116</definedName>
    <definedName name="FS_97">'[9] Land'!$G$119</definedName>
    <definedName name="FS_98" localSheetId="28">'[7] Land'!$G$120</definedName>
    <definedName name="FS_98" localSheetId="30">'[7] Land'!$G$120</definedName>
    <definedName name="FS_98" localSheetId="22">'[8] Land'!$G$117</definedName>
    <definedName name="FS_98">'[9] Land'!$G$120</definedName>
    <definedName name="FS_99" localSheetId="28">'[7] Land'!$G$121</definedName>
    <definedName name="FS_99" localSheetId="30">'[7] Land'!$G$121</definedName>
    <definedName name="FS_99" localSheetId="22">'[8] Land'!$G$118</definedName>
    <definedName name="FS_99">'[9] Land'!$G$121</definedName>
    <definedName name="FW" localSheetId="21">#REF!</definedName>
    <definedName name="FW" localSheetId="16">#REF!</definedName>
    <definedName name="FW" localSheetId="28">#REF!</definedName>
    <definedName name="FW" localSheetId="30">#REF!</definedName>
    <definedName name="FW" localSheetId="22">#REF!</definedName>
    <definedName name="FW">#REF!</definedName>
    <definedName name="GabionTot" localSheetId="27">'[2]D. Gabion Walls'!$F$36</definedName>
    <definedName name="GabionTot" localSheetId="29">'[2]D. Gabion Walls'!$F$36</definedName>
    <definedName name="GabionTot" localSheetId="28">'[3]D. Gabion Walls'!$F$36</definedName>
    <definedName name="GabionTot" localSheetId="30">'[3]D. Gabion Walls'!$F$36</definedName>
    <definedName name="GabionTot" localSheetId="1">'[4]D. Gabion Walls'!$F$36</definedName>
    <definedName name="GabionTot">'[5]D. Gabion Walls'!$F$36</definedName>
    <definedName name="Grant1" localSheetId="21">#REF!</definedName>
    <definedName name="Grant1" localSheetId="16">#REF!</definedName>
    <definedName name="Grant1" localSheetId="28">#REF!</definedName>
    <definedName name="Grant1" localSheetId="30">#REF!</definedName>
    <definedName name="Grant1" localSheetId="22">#REF!</definedName>
    <definedName name="Grant1">#REF!</definedName>
    <definedName name="GT_Bill_FW_Sewers" localSheetId="21">#REF!</definedName>
    <definedName name="GT_Bill_FW_Sewers" localSheetId="16">#REF!</definedName>
    <definedName name="GT_Bill_FW_Sewers" localSheetId="30">#REF!</definedName>
    <definedName name="GT_Bill_FW_Sewers" localSheetId="22">#REF!</definedName>
    <definedName name="GT_Bill_FW_Sewers">#REF!</definedName>
    <definedName name="GT_Bill_Landscape" localSheetId="21">#REF!</definedName>
    <definedName name="GT_Bill_Landscape" localSheetId="16">#REF!</definedName>
    <definedName name="GT_Bill_Landscape" localSheetId="30">#REF!</definedName>
    <definedName name="GT_Bill_Landscape">#REF!</definedName>
    <definedName name="GT_Bill_St_Services" localSheetId="21">#REF!</definedName>
    <definedName name="GT_Bill_St_Services" localSheetId="16">#REF!</definedName>
    <definedName name="GT_Bill_St_Services" localSheetId="30">#REF!</definedName>
    <definedName name="GT_Bill_St_Services">#REF!</definedName>
    <definedName name="GT_Bill_Stage1" localSheetId="21">#REF!</definedName>
    <definedName name="GT_Bill_Stage1" localSheetId="16">#REF!</definedName>
    <definedName name="GT_Bill_Stage1" localSheetId="30">#REF!</definedName>
    <definedName name="GT_Bill_Stage1">#REF!</definedName>
    <definedName name="GT_Bill_Stage2" localSheetId="21">#REF!</definedName>
    <definedName name="GT_Bill_Stage2" localSheetId="16">#REF!</definedName>
    <definedName name="GT_Bill_Stage2" localSheetId="30">#REF!</definedName>
    <definedName name="GT_Bill_Stage2">#REF!</definedName>
    <definedName name="GT_Bill_Stage3" localSheetId="21">#REF!</definedName>
    <definedName name="GT_Bill_Stage3" localSheetId="16">#REF!</definedName>
    <definedName name="GT_Bill_Stage3" localSheetId="30">#REF!</definedName>
    <definedName name="GT_Bill_Stage3">#REF!</definedName>
    <definedName name="GT_Bill_SW_Sewers" localSheetId="21">#REF!</definedName>
    <definedName name="GT_Bill_SW_Sewers" localSheetId="16">#REF!</definedName>
    <definedName name="GT_Bill_SW_Sewers" localSheetId="30">#REF!</definedName>
    <definedName name="GT_Bill_SW_Sewers">#REF!</definedName>
    <definedName name="GT_Input_Carriageways" localSheetId="21">#REF!</definedName>
    <definedName name="GT_Input_Carriageways" localSheetId="16">#REF!</definedName>
    <definedName name="GT_Input_Carriageways" localSheetId="30">#REF!</definedName>
    <definedName name="GT_Input_Carriageways">#REF!</definedName>
    <definedName name="GT_Input_Footpaths" localSheetId="21">#REF!</definedName>
    <definedName name="GT_Input_Footpaths" localSheetId="16">#REF!</definedName>
    <definedName name="GT_Input_Footpaths" localSheetId="30">#REF!</definedName>
    <definedName name="GT_Input_Footpaths">#REF!</definedName>
    <definedName name="GT_Input_FutInc" localSheetId="21">#REF!</definedName>
    <definedName name="GT_Input_FutInc" localSheetId="16">#REF!</definedName>
    <definedName name="GT_Input_FutInc" localSheetId="30">#REF!</definedName>
    <definedName name="GT_Input_FutInc">#REF!</definedName>
    <definedName name="GT_Input_General" localSheetId="21">#REF!</definedName>
    <definedName name="GT_Input_General" localSheetId="16">#REF!</definedName>
    <definedName name="GT_Input_General" localSheetId="30">#REF!</definedName>
    <definedName name="GT_Input_General">#REF!</definedName>
    <definedName name="GT_Input_Levels" localSheetId="21">#REF!</definedName>
    <definedName name="GT_Input_Levels" localSheetId="16">#REF!</definedName>
    <definedName name="GT_Input_Levels" localSheetId="30">#REF!</definedName>
    <definedName name="GT_Input_Levels">#REF!</definedName>
    <definedName name="GT_NonAdopt" localSheetId="21">#REF!</definedName>
    <definedName name="GT_NonAdopt" localSheetId="16">#REF!</definedName>
    <definedName name="GT_NonAdopt" localSheetId="30">#REF!</definedName>
    <definedName name="GT_NonAdopt">#REF!</definedName>
    <definedName name="GT_Sum_Adopt" localSheetId="21">#REF!</definedName>
    <definedName name="GT_Sum_Adopt" localSheetId="16">#REF!</definedName>
    <definedName name="GT_Sum_Adopt" localSheetId="30">#REF!</definedName>
    <definedName name="GT_Sum_Adopt">#REF!</definedName>
    <definedName name="GULLIES" localSheetId="15">#REF!</definedName>
    <definedName name="GULLIES" localSheetId="17">#REF!</definedName>
    <definedName name="GULLIES">#REF!</definedName>
    <definedName name="HeadBill1" localSheetId="21">#REF!</definedName>
    <definedName name="HeadBill1" localSheetId="16">#REF!</definedName>
    <definedName name="HeadBill1" localSheetId="30">#REF!</definedName>
    <definedName name="HeadBill1">#REF!</definedName>
    <definedName name="HeadBill2" localSheetId="21">#REF!</definedName>
    <definedName name="HeadBill2" localSheetId="16">#REF!</definedName>
    <definedName name="HeadBill2" localSheetId="30">#REF!</definedName>
    <definedName name="HeadBill2">#REF!</definedName>
    <definedName name="HeadBill3" localSheetId="21">#REF!</definedName>
    <definedName name="HeadBill3" localSheetId="16">#REF!</definedName>
    <definedName name="HeadBill3" localSheetId="30">#REF!</definedName>
    <definedName name="HeadBill3">#REF!</definedName>
    <definedName name="HeadBillFW" localSheetId="21">#REF!</definedName>
    <definedName name="HeadBillFW" localSheetId="16">#REF!</definedName>
    <definedName name="HeadBillFW" localSheetId="30">#REF!</definedName>
    <definedName name="HeadBillFW">#REF!</definedName>
    <definedName name="HeadBillLand" localSheetId="21">#REF!</definedName>
    <definedName name="HeadBillLand" localSheetId="16">#REF!</definedName>
    <definedName name="HeadBillLand" localSheetId="30">#REF!</definedName>
    <definedName name="HeadBillLand">#REF!</definedName>
    <definedName name="HeadBillSW" localSheetId="21">#REF!</definedName>
    <definedName name="HeadBillSW" localSheetId="16">#REF!</definedName>
    <definedName name="HeadBillSW" localSheetId="30">#REF!</definedName>
    <definedName name="HeadBillSW">#REF!</definedName>
    <definedName name="HeadNonAdopt" localSheetId="21">#REF!</definedName>
    <definedName name="HeadNonAdopt" localSheetId="16">#REF!</definedName>
    <definedName name="HeadNonAdopt" localSheetId="30">#REF!</definedName>
    <definedName name="HeadNonAdopt">#REF!</definedName>
    <definedName name="HELP" localSheetId="15">#REF!</definedName>
    <definedName name="HELP" localSheetId="17">#REF!</definedName>
    <definedName name="HELP">#REF!</definedName>
    <definedName name="HousetypeData">#REF!</definedName>
    <definedName name="IF_AVERAGE" localSheetId="30">#REF!</definedName>
    <definedName name="IF_AVERAGE">#REF!</definedName>
    <definedName name="INPUT" localSheetId="21">#REF!</definedName>
    <definedName name="INPUT" localSheetId="16">#REF!</definedName>
    <definedName name="INPUT" localSheetId="30">#REF!</definedName>
    <definedName name="INPUT">#REF!</definedName>
    <definedName name="INPUT2" localSheetId="21">#REF!</definedName>
    <definedName name="INPUT2" localSheetId="16">#REF!</definedName>
    <definedName name="INPUT2" localSheetId="30">#REF!</definedName>
    <definedName name="INPUT2">#REF!</definedName>
    <definedName name="INTERESTCOST" localSheetId="16">[14]Summary!$F$59</definedName>
    <definedName name="INTERESTCOST" localSheetId="28">[15]Summary!$F$67</definedName>
    <definedName name="INTERESTCOST" localSheetId="30">[15]Summary!$F$67</definedName>
    <definedName name="INTERESTCOST" localSheetId="22">[8]Summary!$F$60</definedName>
    <definedName name="INTERESTCOST">[13]Summary!$F$59</definedName>
    <definedName name="InvoiceNo" localSheetId="21">#REF!</definedName>
    <definedName name="InvoiceNo" localSheetId="16">#REF!</definedName>
    <definedName name="InvoiceNo" localSheetId="28">#REF!</definedName>
    <definedName name="InvoiceNo" localSheetId="30">#REF!</definedName>
    <definedName name="InvoiceNo" localSheetId="22">#REF!</definedName>
    <definedName name="InvoiceNo">#REF!</definedName>
    <definedName name="Job_number" localSheetId="30">#REF!</definedName>
    <definedName name="Job_number">#REF!</definedName>
    <definedName name="List_of_Divisions" localSheetId="28">[16]Sheet1!$A$1:$A$14</definedName>
    <definedName name="List_of_Divisions" localSheetId="30">[16]Sheet1!$A$1:$A$14</definedName>
    <definedName name="List_of_Divisions">[17]Sheet1!$A$1:$A$14</definedName>
    <definedName name="N0_14" localSheetId="21">#REF!</definedName>
    <definedName name="N0_14" localSheetId="16">#REF!</definedName>
    <definedName name="N0_14" localSheetId="28">#REF!</definedName>
    <definedName name="N0_14" localSheetId="30">#REF!</definedName>
    <definedName name="N0_14" localSheetId="22">#REF!</definedName>
    <definedName name="N0_14">#REF!</definedName>
    <definedName name="NO_1" localSheetId="21">#REF!</definedName>
    <definedName name="NO_1" localSheetId="16">#REF!</definedName>
    <definedName name="NO_1" localSheetId="30">#REF!</definedName>
    <definedName name="NO_1" localSheetId="22">#REF!</definedName>
    <definedName name="NO_1">#REF!</definedName>
    <definedName name="NO_10" localSheetId="21">#REF!</definedName>
    <definedName name="NO_10" localSheetId="16">#REF!</definedName>
    <definedName name="NO_10" localSheetId="30">#REF!</definedName>
    <definedName name="NO_10">#REF!</definedName>
    <definedName name="NO_100" localSheetId="28">'[7] Land'!$D$122</definedName>
    <definedName name="NO_100" localSheetId="30">'[7] Land'!$D$122</definedName>
    <definedName name="NO_100" localSheetId="22">'[8] Land'!$D$119</definedName>
    <definedName name="NO_100">'[9] Land'!$D$122</definedName>
    <definedName name="NO_11" localSheetId="21">#REF!</definedName>
    <definedName name="NO_11" localSheetId="16">#REF!</definedName>
    <definedName name="NO_11" localSheetId="28">#REF!</definedName>
    <definedName name="NO_11" localSheetId="30">#REF!</definedName>
    <definedName name="NO_11" localSheetId="22">#REF!</definedName>
    <definedName name="NO_11">#REF!</definedName>
    <definedName name="NO_12" localSheetId="21">#REF!</definedName>
    <definedName name="NO_12" localSheetId="16">#REF!</definedName>
    <definedName name="NO_12" localSheetId="30">#REF!</definedName>
    <definedName name="NO_12" localSheetId="22">#REF!</definedName>
    <definedName name="NO_12">#REF!</definedName>
    <definedName name="NO_13" localSheetId="28">'[7] Land'!$D$32</definedName>
    <definedName name="NO_13" localSheetId="30">'[7] Land'!$D$32</definedName>
    <definedName name="NO_13" localSheetId="22">'[8] Land'!$D$29</definedName>
    <definedName name="NO_13">'[9] Land'!$D$32</definedName>
    <definedName name="NO_14" localSheetId="28">'[7] Land'!$D$33</definedName>
    <definedName name="NO_14" localSheetId="30">'[7] Land'!$D$33</definedName>
    <definedName name="NO_14" localSheetId="22">'[8] Land'!$D$30</definedName>
    <definedName name="NO_14">'[9] Land'!$D$33</definedName>
    <definedName name="NO_15" localSheetId="28">'[7] Land'!$D$34</definedName>
    <definedName name="NO_15" localSheetId="30">'[7] Land'!$D$34</definedName>
    <definedName name="NO_15" localSheetId="22">'[8] Land'!$D$31</definedName>
    <definedName name="NO_15">'[9] Land'!$D$34</definedName>
    <definedName name="NO_16" localSheetId="28">'[7] Land'!$D$35</definedName>
    <definedName name="NO_16" localSheetId="30">'[7] Land'!$D$35</definedName>
    <definedName name="NO_16" localSheetId="22">'[8] Land'!$D$32</definedName>
    <definedName name="NO_16">'[9] Land'!$D$35</definedName>
    <definedName name="NO_17" localSheetId="28">'[7] Land'!$D$36</definedName>
    <definedName name="NO_17" localSheetId="30">'[7] Land'!$D$36</definedName>
    <definedName name="NO_17" localSheetId="22">'[8] Land'!$D$33</definedName>
    <definedName name="NO_17">'[9] Land'!$D$36</definedName>
    <definedName name="NO_18" localSheetId="28">'[7] Land'!$D$37</definedName>
    <definedName name="NO_18" localSheetId="30">'[7] Land'!$D$37</definedName>
    <definedName name="NO_18" localSheetId="22">'[8] Land'!$D$34</definedName>
    <definedName name="NO_18">'[9] Land'!$D$37</definedName>
    <definedName name="NO_19" localSheetId="28">'[7] Land'!$D$38</definedName>
    <definedName name="NO_19" localSheetId="30">'[7] Land'!$D$38</definedName>
    <definedName name="NO_19" localSheetId="22">'[8] Land'!$D$35</definedName>
    <definedName name="NO_19">'[9] Land'!$D$38</definedName>
    <definedName name="NO_2" localSheetId="21">#REF!</definedName>
    <definedName name="NO_2" localSheetId="16">#REF!</definedName>
    <definedName name="NO_2" localSheetId="28">#REF!</definedName>
    <definedName name="NO_2" localSheetId="30">#REF!</definedName>
    <definedName name="NO_2" localSheetId="22">#REF!</definedName>
    <definedName name="NO_2">#REF!</definedName>
    <definedName name="NO_20" localSheetId="28">'[7] Land'!$D$39</definedName>
    <definedName name="NO_20" localSheetId="30">'[7] Land'!$D$39</definedName>
    <definedName name="NO_20" localSheetId="22">'[8] Land'!$D$36</definedName>
    <definedName name="NO_20">'[9] Land'!$D$39</definedName>
    <definedName name="NO_21" localSheetId="28">'[7] Land'!$D$40</definedName>
    <definedName name="NO_21" localSheetId="30">'[7] Land'!$D$40</definedName>
    <definedName name="NO_21" localSheetId="22">'[8] Land'!$D$37</definedName>
    <definedName name="NO_21">'[9] Land'!$D$40</definedName>
    <definedName name="NO_22" localSheetId="28">'[7] Land'!$D$41</definedName>
    <definedName name="NO_22" localSheetId="30">'[7] Land'!$D$41</definedName>
    <definedName name="NO_22" localSheetId="22">'[8] Land'!$D$38</definedName>
    <definedName name="NO_22">'[9] Land'!$D$41</definedName>
    <definedName name="NO_23" localSheetId="28">'[7] Land'!$D$42</definedName>
    <definedName name="NO_23" localSheetId="30">'[7] Land'!$D$42</definedName>
    <definedName name="NO_23" localSheetId="22">'[8] Land'!$D$39</definedName>
    <definedName name="NO_23">'[9] Land'!$D$42</definedName>
    <definedName name="NO_24" localSheetId="28">'[7] Land'!$D$43</definedName>
    <definedName name="NO_24" localSheetId="30">'[7] Land'!$D$43</definedName>
    <definedName name="NO_24" localSheetId="22">'[8] Land'!$D$40</definedName>
    <definedName name="NO_24">'[9] Land'!$D$43</definedName>
    <definedName name="NO_25" localSheetId="28">'[7] Land'!$D$44</definedName>
    <definedName name="NO_25" localSheetId="30">'[7] Land'!$D$44</definedName>
    <definedName name="NO_25" localSheetId="22">'[8] Land'!$D$41</definedName>
    <definedName name="NO_25">'[9] Land'!$D$44</definedName>
    <definedName name="NO_26" localSheetId="28">'[7] Land'!$D$45</definedName>
    <definedName name="NO_26" localSheetId="30">'[7] Land'!$D$45</definedName>
    <definedName name="NO_26" localSheetId="22">'[8] Land'!$D$42</definedName>
    <definedName name="NO_26">'[9] Land'!$D$45</definedName>
    <definedName name="NO_27" localSheetId="28">'[7] Land'!$D$46</definedName>
    <definedName name="NO_27" localSheetId="30">'[7] Land'!$D$46</definedName>
    <definedName name="NO_27" localSheetId="22">'[8] Land'!$D$43</definedName>
    <definedName name="NO_27">'[9] Land'!$D$46</definedName>
    <definedName name="NO_28" localSheetId="28">'[7] Land'!$D$47</definedName>
    <definedName name="NO_28" localSheetId="30">'[7] Land'!$D$47</definedName>
    <definedName name="NO_28" localSheetId="22">'[8] Land'!$D$44</definedName>
    <definedName name="NO_28">'[9] Land'!$D$47</definedName>
    <definedName name="NO_29" localSheetId="28">'[7] Land'!$D$48</definedName>
    <definedName name="NO_29" localSheetId="30">'[7] Land'!$D$48</definedName>
    <definedName name="NO_29" localSheetId="22">'[8] Land'!$D$45</definedName>
    <definedName name="NO_29">'[9] Land'!$D$48</definedName>
    <definedName name="NO_3" localSheetId="21">#REF!</definedName>
    <definedName name="NO_3" localSheetId="16">#REF!</definedName>
    <definedName name="NO_3" localSheetId="28">#REF!</definedName>
    <definedName name="NO_3" localSheetId="30">#REF!</definedName>
    <definedName name="NO_3" localSheetId="22">#REF!</definedName>
    <definedName name="NO_3">#REF!</definedName>
    <definedName name="NO_30" localSheetId="28">'[7] Land'!$D$49</definedName>
    <definedName name="NO_30" localSheetId="30">'[7] Land'!$D$49</definedName>
    <definedName name="NO_30" localSheetId="22">'[8] Land'!$D$46</definedName>
    <definedName name="NO_30">'[9] Land'!$D$49</definedName>
    <definedName name="NO_31" localSheetId="28">'[7] Land'!$D$50</definedName>
    <definedName name="NO_31" localSheetId="30">'[7] Land'!$D$50</definedName>
    <definedName name="NO_31" localSheetId="22">'[8] Land'!$D$47</definedName>
    <definedName name="NO_31">'[9] Land'!$D$50</definedName>
    <definedName name="NO_32" localSheetId="28">'[7] Land'!$D$51</definedName>
    <definedName name="NO_32" localSheetId="30">'[7] Land'!$D$51</definedName>
    <definedName name="NO_32" localSheetId="22">'[8] Land'!$D$48</definedName>
    <definedName name="NO_32">'[9] Land'!$D$51</definedName>
    <definedName name="NO_33" localSheetId="28">'[7] Land'!$D$52</definedName>
    <definedName name="NO_33" localSheetId="30">'[7] Land'!$D$52</definedName>
    <definedName name="NO_33" localSheetId="22">'[8] Land'!$D$49</definedName>
    <definedName name="NO_33">'[9] Land'!$D$52</definedName>
    <definedName name="NO_34" localSheetId="28">'[7] Land'!$D$53</definedName>
    <definedName name="NO_34" localSheetId="30">'[7] Land'!$D$53</definedName>
    <definedName name="NO_34" localSheetId="22">'[8] Land'!$D$50</definedName>
    <definedName name="NO_34">'[9] Land'!$D$53</definedName>
    <definedName name="NO_35" localSheetId="28">'[7] Land'!$D$54</definedName>
    <definedName name="NO_35" localSheetId="30">'[7] Land'!$D$54</definedName>
    <definedName name="NO_35" localSheetId="22">'[8] Land'!$D$51</definedName>
    <definedName name="NO_35">'[9] Land'!$D$54</definedName>
    <definedName name="NO_36" localSheetId="28">'[7] Land'!$D$55</definedName>
    <definedName name="NO_36" localSheetId="30">'[7] Land'!$D$55</definedName>
    <definedName name="NO_36" localSheetId="22">'[8] Land'!$D$52</definedName>
    <definedName name="NO_36">'[9] Land'!$D$55</definedName>
    <definedName name="NO_37" localSheetId="28">'[7] Land'!$D$57</definedName>
    <definedName name="NO_37" localSheetId="30">'[7] Land'!$D$57</definedName>
    <definedName name="NO_37" localSheetId="22">'[8] Land'!$D$54</definedName>
    <definedName name="NO_37">'[9] Land'!$D$57</definedName>
    <definedName name="NO_38" localSheetId="28">'[7] Land'!$D$58</definedName>
    <definedName name="NO_38" localSheetId="30">'[7] Land'!$D$58</definedName>
    <definedName name="NO_38" localSheetId="22">'[8] Land'!$D$55</definedName>
    <definedName name="NO_38">'[9] Land'!$D$58</definedName>
    <definedName name="NO_39" localSheetId="28">'[7] Land'!$D$59</definedName>
    <definedName name="NO_39" localSheetId="30">'[7] Land'!$D$59</definedName>
    <definedName name="NO_39" localSheetId="22">'[8] Land'!$D$56</definedName>
    <definedName name="NO_39">'[9] Land'!$D$59</definedName>
    <definedName name="NO_4" localSheetId="21">#REF!</definedName>
    <definedName name="NO_4" localSheetId="16">#REF!</definedName>
    <definedName name="NO_4" localSheetId="28">#REF!</definedName>
    <definedName name="NO_4" localSheetId="30">#REF!</definedName>
    <definedName name="NO_4" localSheetId="22">#REF!</definedName>
    <definedName name="NO_4">#REF!</definedName>
    <definedName name="NO_40" localSheetId="28">'[7] Land'!$D$60</definedName>
    <definedName name="NO_40" localSheetId="30">'[7] Land'!$D$60</definedName>
    <definedName name="NO_40" localSheetId="22">'[8] Land'!$D$57</definedName>
    <definedName name="NO_40">'[9] Land'!$D$60</definedName>
    <definedName name="NO_41" localSheetId="28">'[7] Land'!$D$61</definedName>
    <definedName name="NO_41" localSheetId="30">'[7] Land'!$D$61</definedName>
    <definedName name="NO_41" localSheetId="22">'[8] Land'!$D$58</definedName>
    <definedName name="NO_41">'[9] Land'!$D$61</definedName>
    <definedName name="NO_42" localSheetId="28">'[7] Land'!$D$62</definedName>
    <definedName name="NO_42" localSheetId="30">'[7] Land'!$D$62</definedName>
    <definedName name="NO_42" localSheetId="22">'[8] Land'!$D$59</definedName>
    <definedName name="NO_42">'[9] Land'!$D$62</definedName>
    <definedName name="NO_43" localSheetId="28">'[7] Land'!$D$63</definedName>
    <definedName name="NO_43" localSheetId="30">'[7] Land'!$D$63</definedName>
    <definedName name="NO_43" localSheetId="22">'[8] Land'!$D$60</definedName>
    <definedName name="NO_43">'[9] Land'!$D$63</definedName>
    <definedName name="NO_44" localSheetId="28">'[7] Land'!$D$64</definedName>
    <definedName name="NO_44" localSheetId="30">'[7] Land'!$D$64</definedName>
    <definedName name="NO_44" localSheetId="22">'[8] Land'!$D$61</definedName>
    <definedName name="NO_44">'[9] Land'!$D$64</definedName>
    <definedName name="NO_45" localSheetId="28">'[7] Land'!$D$65</definedName>
    <definedName name="NO_45" localSheetId="30">'[7] Land'!$D$65</definedName>
    <definedName name="NO_45" localSheetId="22">'[8] Land'!$D$62</definedName>
    <definedName name="NO_45">'[9] Land'!$D$65</definedName>
    <definedName name="NO_46" localSheetId="28">'[7] Land'!$D$66</definedName>
    <definedName name="NO_46" localSheetId="30">'[7] Land'!$D$66</definedName>
    <definedName name="NO_46" localSheetId="22">'[8] Land'!$D$63</definedName>
    <definedName name="NO_46">'[9] Land'!$D$66</definedName>
    <definedName name="NO_47" localSheetId="28">'[7] Land'!$D$67</definedName>
    <definedName name="NO_47" localSheetId="30">'[7] Land'!$D$67</definedName>
    <definedName name="NO_47" localSheetId="22">'[8] Land'!$D$64</definedName>
    <definedName name="NO_47">'[9] Land'!$D$67</definedName>
    <definedName name="NO_48" localSheetId="28">'[7] Land'!$D$68</definedName>
    <definedName name="NO_48" localSheetId="30">'[7] Land'!$D$68</definedName>
    <definedName name="NO_48" localSheetId="22">'[8] Land'!$D$65</definedName>
    <definedName name="NO_48">'[9] Land'!$D$68</definedName>
    <definedName name="NO_49" localSheetId="28">'[7] Land'!$D$69</definedName>
    <definedName name="NO_49" localSheetId="30">'[7] Land'!$D$69</definedName>
    <definedName name="NO_49" localSheetId="22">'[8] Land'!$D$66</definedName>
    <definedName name="NO_49">'[9] Land'!$D$69</definedName>
    <definedName name="NO_5" localSheetId="21">#REF!</definedName>
    <definedName name="NO_5" localSheetId="16">#REF!</definedName>
    <definedName name="NO_5" localSheetId="28">#REF!</definedName>
    <definedName name="NO_5" localSheetId="30">#REF!</definedName>
    <definedName name="NO_5" localSheetId="22">#REF!</definedName>
    <definedName name="NO_5">#REF!</definedName>
    <definedName name="NO_50" localSheetId="28">'[7] Land'!$D$70</definedName>
    <definedName name="NO_50" localSheetId="30">'[7] Land'!$D$70</definedName>
    <definedName name="NO_50" localSheetId="22">'[8] Land'!$D$67</definedName>
    <definedName name="NO_50">'[9] Land'!$D$70</definedName>
    <definedName name="NO_51" localSheetId="28">'[7] Land'!$D$71</definedName>
    <definedName name="NO_51" localSheetId="30">'[7] Land'!$D$71</definedName>
    <definedName name="NO_51" localSheetId="22">'[8] Land'!$D$68</definedName>
    <definedName name="NO_51">'[9] Land'!$D$71</definedName>
    <definedName name="NO_52" localSheetId="28">'[7] Land'!$D$72</definedName>
    <definedName name="NO_52" localSheetId="30">'[7] Land'!$D$72</definedName>
    <definedName name="NO_52" localSheetId="22">'[8] Land'!$D$69</definedName>
    <definedName name="NO_52">'[9] Land'!$D$72</definedName>
    <definedName name="NO_53" localSheetId="28">'[7] Land'!$D$74</definedName>
    <definedName name="NO_53" localSheetId="30">'[7] Land'!$D$74</definedName>
    <definedName name="NO_53" localSheetId="22">'[8] Land'!$D$71</definedName>
    <definedName name="NO_53">'[9] Land'!$D$74</definedName>
    <definedName name="NO_54" localSheetId="28">'[7] Land'!$D$75</definedName>
    <definedName name="NO_54" localSheetId="30">'[7] Land'!$D$75</definedName>
    <definedName name="NO_54" localSheetId="22">'[8] Land'!$D$72</definedName>
    <definedName name="NO_54">'[9] Land'!$D$75</definedName>
    <definedName name="NO_55" localSheetId="28">'[7] Land'!$D$76</definedName>
    <definedName name="NO_55" localSheetId="30">'[7] Land'!$D$76</definedName>
    <definedName name="NO_55" localSheetId="22">'[8] Land'!$D$73</definedName>
    <definedName name="NO_55">'[9] Land'!$D$76</definedName>
    <definedName name="NO_56" localSheetId="28">'[7] Land'!$D$77</definedName>
    <definedName name="NO_56" localSheetId="30">'[7] Land'!$D$77</definedName>
    <definedName name="NO_56" localSheetId="22">'[8] Land'!$D$74</definedName>
    <definedName name="NO_56">'[9] Land'!$D$77</definedName>
    <definedName name="NO_57" localSheetId="28">'[7] Land'!$D$78</definedName>
    <definedName name="NO_57" localSheetId="30">'[7] Land'!$D$78</definedName>
    <definedName name="NO_57" localSheetId="22">'[8] Land'!$D$75</definedName>
    <definedName name="NO_57">'[9] Land'!$D$78</definedName>
    <definedName name="NO_58" localSheetId="28">'[7] Land'!$D$79</definedName>
    <definedName name="NO_58" localSheetId="30">'[7] Land'!$D$79</definedName>
    <definedName name="NO_58" localSheetId="22">'[8] Land'!$D$76</definedName>
    <definedName name="NO_58">'[9] Land'!$D$79</definedName>
    <definedName name="NO_59" localSheetId="28">'[7] Land'!$D$82</definedName>
    <definedName name="NO_59" localSheetId="30">'[7] Land'!$D$82</definedName>
    <definedName name="NO_59" localSheetId="22">'[8] Land'!$D$77</definedName>
    <definedName name="NO_59">'[9] Land'!$D$82</definedName>
    <definedName name="NO_6" localSheetId="21">#REF!</definedName>
    <definedName name="NO_6" localSheetId="16">#REF!</definedName>
    <definedName name="NO_6" localSheetId="28">#REF!</definedName>
    <definedName name="NO_6" localSheetId="30">#REF!</definedName>
    <definedName name="NO_6" localSheetId="22">#REF!</definedName>
    <definedName name="NO_6">#REF!</definedName>
    <definedName name="NO_60" localSheetId="28">'[7] Land'!$D$83</definedName>
    <definedName name="NO_60" localSheetId="30">'[7] Land'!$D$83</definedName>
    <definedName name="NO_60" localSheetId="22">'[8] Land'!$D$78</definedName>
    <definedName name="NO_60">'[9] Land'!$D$83</definedName>
    <definedName name="NO_61" localSheetId="28">'[7] Land'!$D$84</definedName>
    <definedName name="NO_61" localSheetId="30">'[7] Land'!$D$84</definedName>
    <definedName name="NO_61" localSheetId="22">'[8] Land'!$D$79</definedName>
    <definedName name="NO_61">'[9] Land'!$D$84</definedName>
    <definedName name="NO_62" localSheetId="28">'[7] Land'!$D$80</definedName>
    <definedName name="NO_62" localSheetId="30">'[7] Land'!$D$80</definedName>
    <definedName name="NO_62" localSheetId="22">'[8] Land'!$D$80</definedName>
    <definedName name="NO_62">'[9] Land'!$D$80</definedName>
    <definedName name="NO_63" localSheetId="28">'[7] Land'!$D$81</definedName>
    <definedName name="NO_63" localSheetId="30">'[7] Land'!$D$81</definedName>
    <definedName name="NO_63" localSheetId="22">'[8] Land'!$D$81</definedName>
    <definedName name="NO_63">'[9] Land'!$D$81</definedName>
    <definedName name="NO_64" localSheetId="28">'[7] Land'!$D$85</definedName>
    <definedName name="NO_64" localSheetId="30">'[7] Land'!$D$85</definedName>
    <definedName name="NO_64" localSheetId="22">'[8] Land'!$D$82</definedName>
    <definedName name="NO_64">'[9] Land'!$D$85</definedName>
    <definedName name="NO_65" localSheetId="28">'[7] Land'!$D$86</definedName>
    <definedName name="NO_65" localSheetId="30">'[7] Land'!$D$86</definedName>
    <definedName name="NO_65" localSheetId="22">'[8] Land'!$D$83</definedName>
    <definedName name="NO_65">'[9] Land'!$D$86</definedName>
    <definedName name="NO_66" localSheetId="28">'[7] Land'!$D$87</definedName>
    <definedName name="NO_66" localSheetId="30">'[7] Land'!$D$87</definedName>
    <definedName name="NO_66" localSheetId="22">'[8] Land'!$D$84</definedName>
    <definedName name="NO_66">'[9] Land'!$D$87</definedName>
    <definedName name="NO_67" localSheetId="28">'[7] Land'!$D$88</definedName>
    <definedName name="NO_67" localSheetId="30">'[7] Land'!$D$88</definedName>
    <definedName name="NO_67" localSheetId="22">'[8] Land'!$D$85</definedName>
    <definedName name="NO_67">'[9] Land'!$D$88</definedName>
    <definedName name="NO_68" localSheetId="28">'[7] Land'!$D$89</definedName>
    <definedName name="NO_68" localSheetId="30">'[7] Land'!$D$89</definedName>
    <definedName name="NO_68" localSheetId="22">'[8] Land'!$D$86</definedName>
    <definedName name="NO_68">'[9] Land'!$D$89</definedName>
    <definedName name="NO_69" localSheetId="28">'[7] Land'!$D$90</definedName>
    <definedName name="NO_69" localSheetId="30">'[7] Land'!$D$90</definedName>
    <definedName name="NO_69" localSheetId="22">'[8] Land'!$D$87</definedName>
    <definedName name="NO_69">'[9] Land'!$D$90</definedName>
    <definedName name="NO_7" localSheetId="21">#REF!</definedName>
    <definedName name="NO_7" localSheetId="16">#REF!</definedName>
    <definedName name="NO_7" localSheetId="28">#REF!</definedName>
    <definedName name="NO_7" localSheetId="30">#REF!</definedName>
    <definedName name="NO_7" localSheetId="22">#REF!</definedName>
    <definedName name="NO_7">#REF!</definedName>
    <definedName name="NO_70" localSheetId="28">'[7] Land'!$D$91</definedName>
    <definedName name="NO_70" localSheetId="30">'[7] Land'!$D$91</definedName>
    <definedName name="NO_70" localSheetId="22">'[8] Land'!$D$88</definedName>
    <definedName name="NO_70">'[9] Land'!$D$91</definedName>
    <definedName name="NO_71" localSheetId="28">'[7] Land'!$D$92</definedName>
    <definedName name="NO_71" localSheetId="30">'[7] Land'!$D$92</definedName>
    <definedName name="NO_71" localSheetId="22">'[8] Land'!$D$89</definedName>
    <definedName name="NO_71">'[9] Land'!$D$92</definedName>
    <definedName name="NO_72" localSheetId="28">'[7] Land'!$D$93</definedName>
    <definedName name="NO_72" localSheetId="30">'[7] Land'!$D$93</definedName>
    <definedName name="NO_72" localSheetId="22">'[8] Land'!$D$90</definedName>
    <definedName name="NO_72">'[9] Land'!$D$93</definedName>
    <definedName name="NO_73" localSheetId="28">'[7] Land'!$D$94</definedName>
    <definedName name="NO_73" localSheetId="30">'[7] Land'!$D$94</definedName>
    <definedName name="NO_73" localSheetId="22">'[8] Land'!$D$91</definedName>
    <definedName name="NO_73">'[9] Land'!$D$94</definedName>
    <definedName name="NO_74" localSheetId="28">'[7] Land'!$D$95</definedName>
    <definedName name="NO_74" localSheetId="30">'[7] Land'!$D$95</definedName>
    <definedName name="NO_74" localSheetId="22">'[8] Land'!$D$92</definedName>
    <definedName name="NO_74">'[9] Land'!$D$95</definedName>
    <definedName name="NO_75" localSheetId="28">'[7] Land'!$D$96</definedName>
    <definedName name="NO_75" localSheetId="30">'[7] Land'!$D$96</definedName>
    <definedName name="NO_75" localSheetId="22">'[8] Land'!$D$93</definedName>
    <definedName name="NO_75">'[9] Land'!$D$96</definedName>
    <definedName name="NO_76" localSheetId="28">'[7] Land'!$D$97</definedName>
    <definedName name="NO_76" localSheetId="30">'[7] Land'!$D$97</definedName>
    <definedName name="NO_76" localSheetId="22">'[8] Land'!$D$94</definedName>
    <definedName name="NO_76">'[9] Land'!$D$97</definedName>
    <definedName name="NO_77" localSheetId="28">'[7] Land'!$D$98</definedName>
    <definedName name="NO_77" localSheetId="30">'[7] Land'!$D$98</definedName>
    <definedName name="NO_77" localSheetId="22">'[8] Land'!$D$95</definedName>
    <definedName name="NO_77">'[9] Land'!$D$98</definedName>
    <definedName name="NO_78" localSheetId="28">'[7] Land'!$D$99</definedName>
    <definedName name="NO_78" localSheetId="30">'[7] Land'!$D$99</definedName>
    <definedName name="NO_78" localSheetId="22">'[8] Land'!$D$96</definedName>
    <definedName name="NO_78">'[9] Land'!$D$99</definedName>
    <definedName name="NO_79" localSheetId="28">'[7] Land'!$D$100</definedName>
    <definedName name="NO_79" localSheetId="30">'[7] Land'!$D$100</definedName>
    <definedName name="NO_79" localSheetId="22">'[8] Land'!$D$97</definedName>
    <definedName name="NO_79">'[9] Land'!$D$100</definedName>
    <definedName name="NO_8" localSheetId="21">#REF!</definedName>
    <definedName name="NO_8" localSheetId="16">#REF!</definedName>
    <definedName name="NO_8" localSheetId="28">#REF!</definedName>
    <definedName name="NO_8" localSheetId="30">#REF!</definedName>
    <definedName name="NO_8" localSheetId="22">#REF!</definedName>
    <definedName name="NO_8">#REF!</definedName>
    <definedName name="NO_80" localSheetId="28">'[7] Land'!$D$101</definedName>
    <definedName name="NO_80" localSheetId="30">'[7] Land'!$D$101</definedName>
    <definedName name="NO_80" localSheetId="22">'[8] Land'!$D$98</definedName>
    <definedName name="NO_80">'[9] Land'!$D$101</definedName>
    <definedName name="NO_81" localSheetId="28">'[7] Land'!$D$103</definedName>
    <definedName name="NO_81" localSheetId="30">'[7] Land'!$D$103</definedName>
    <definedName name="NO_81" localSheetId="22">'[8] Land'!$D$100</definedName>
    <definedName name="NO_81">'[9] Land'!$D$103</definedName>
    <definedName name="NO_82" localSheetId="28">'[7] Land'!$D$104</definedName>
    <definedName name="NO_82" localSheetId="30">'[7] Land'!$D$104</definedName>
    <definedName name="NO_82" localSheetId="22">'[8] Land'!$D$101</definedName>
    <definedName name="NO_82">'[9] Land'!$D$104</definedName>
    <definedName name="NO_83" localSheetId="28">'[7] Land'!$D$105</definedName>
    <definedName name="NO_83" localSheetId="30">'[7] Land'!$D$105</definedName>
    <definedName name="NO_83" localSheetId="22">'[8] Land'!$D$102</definedName>
    <definedName name="NO_83">'[9] Land'!$D$105</definedName>
    <definedName name="NO_84" localSheetId="28">'[7] Land'!$D$106</definedName>
    <definedName name="NO_84" localSheetId="30">'[7] Land'!$D$106</definedName>
    <definedName name="NO_84" localSheetId="22">'[8] Land'!$D$103</definedName>
    <definedName name="NO_84">'[9] Land'!$D$106</definedName>
    <definedName name="NO_85" localSheetId="28">'[7] Land'!$D$107</definedName>
    <definedName name="NO_85" localSheetId="30">'[7] Land'!$D$107</definedName>
    <definedName name="NO_85" localSheetId="22">'[8] Land'!$D$104</definedName>
    <definedName name="NO_85">'[9] Land'!$D$107</definedName>
    <definedName name="NO_86" localSheetId="28">'[7] Land'!$D$108</definedName>
    <definedName name="NO_86" localSheetId="30">'[7] Land'!$D$108</definedName>
    <definedName name="NO_86" localSheetId="22">'[8] Land'!$D$105</definedName>
    <definedName name="NO_86">'[9] Land'!$D$108</definedName>
    <definedName name="NO_87" localSheetId="28">'[7] Land'!$D$109</definedName>
    <definedName name="NO_87" localSheetId="30">'[7] Land'!$D$109</definedName>
    <definedName name="NO_87" localSheetId="22">'[8] Land'!$D$106</definedName>
    <definedName name="NO_87">'[9] Land'!$D$109</definedName>
    <definedName name="NO_88" localSheetId="28">'[7] Land'!$D$110</definedName>
    <definedName name="NO_88" localSheetId="30">'[7] Land'!$D$110</definedName>
    <definedName name="NO_88" localSheetId="22">'[8] Land'!$D$107</definedName>
    <definedName name="NO_88">'[9] Land'!$D$110</definedName>
    <definedName name="NO_89" localSheetId="28">'[7] Land'!$D$111</definedName>
    <definedName name="NO_89" localSheetId="30">'[7] Land'!$D$111</definedName>
    <definedName name="NO_89" localSheetId="22">'[8] Land'!$D$108</definedName>
    <definedName name="NO_89">'[9] Land'!$D$111</definedName>
    <definedName name="NO_9" localSheetId="21">#REF!</definedName>
    <definedName name="NO_9" localSheetId="16">#REF!</definedName>
    <definedName name="NO_9" localSheetId="28">#REF!</definedName>
    <definedName name="NO_9" localSheetId="30">#REF!</definedName>
    <definedName name="NO_9" localSheetId="22">#REF!</definedName>
    <definedName name="NO_9">#REF!</definedName>
    <definedName name="NO_90" localSheetId="28">'[7] Land'!$D$112</definedName>
    <definedName name="NO_90" localSheetId="30">'[7] Land'!$D$112</definedName>
    <definedName name="NO_90" localSheetId="22">'[8] Land'!$D$109</definedName>
    <definedName name="NO_90">'[9] Land'!$D$112</definedName>
    <definedName name="NO_91" localSheetId="28">'[7] Land'!$D$113</definedName>
    <definedName name="NO_91" localSheetId="30">'[7] Land'!$D$113</definedName>
    <definedName name="NO_91" localSheetId="22">'[8] Land'!$D$110</definedName>
    <definedName name="NO_91">'[9] Land'!$D$113</definedName>
    <definedName name="NO_92" localSheetId="28">'[7] Land'!$D$114</definedName>
    <definedName name="NO_92" localSheetId="30">'[7] Land'!$D$114</definedName>
    <definedName name="NO_92" localSheetId="22">'[8] Land'!$D$111</definedName>
    <definedName name="NO_92">'[9] Land'!$D$114</definedName>
    <definedName name="NO_93" localSheetId="28">'[7] Land'!$D$115</definedName>
    <definedName name="NO_93" localSheetId="30">'[7] Land'!$D$115</definedName>
    <definedName name="NO_93" localSheetId="22">'[8] Land'!$D$112</definedName>
    <definedName name="NO_93">'[9] Land'!$D$115</definedName>
    <definedName name="NO_94" localSheetId="28">'[7] Land'!$D$116</definedName>
    <definedName name="NO_94" localSheetId="30">'[7] Land'!$D$116</definedName>
    <definedName name="NO_94" localSheetId="22">'[8] Land'!$D$113</definedName>
    <definedName name="NO_94">'[9] Land'!$D$116</definedName>
    <definedName name="NO_95" localSheetId="28">'[7] Land'!$D$117</definedName>
    <definedName name="NO_95" localSheetId="30">'[7] Land'!$D$117</definedName>
    <definedName name="NO_95" localSheetId="22">'[8] Land'!$D$114</definedName>
    <definedName name="NO_95">'[9] Land'!$D$117</definedName>
    <definedName name="NO_96" localSheetId="28">'[7] Land'!$D$118</definedName>
    <definedName name="NO_96" localSheetId="30">'[7] Land'!$D$118</definedName>
    <definedName name="NO_96" localSheetId="22">'[8] Land'!$D$115</definedName>
    <definedName name="NO_96">'[9] Land'!$D$118</definedName>
    <definedName name="NO_97" localSheetId="28">'[7] Land'!$D$119</definedName>
    <definedName name="NO_97" localSheetId="30">'[7] Land'!$D$119</definedName>
    <definedName name="NO_97" localSheetId="22">'[8] Land'!$D$116</definedName>
    <definedName name="NO_97">'[9] Land'!$D$119</definedName>
    <definedName name="NO_98" localSheetId="28">'[7] Land'!$D$120</definedName>
    <definedName name="NO_98" localSheetId="30">'[7] Land'!$D$120</definedName>
    <definedName name="NO_98" localSheetId="22">'[8] Land'!$D$117</definedName>
    <definedName name="NO_98">'[9] Land'!$D$120</definedName>
    <definedName name="NO_99" localSheetId="28">'[7] Land'!$D$121</definedName>
    <definedName name="NO_99" localSheetId="30">'[7] Land'!$D$121</definedName>
    <definedName name="NO_99" localSheetId="22">'[8] Land'!$D$118</definedName>
    <definedName name="NO_99">'[9] Land'!$D$121</definedName>
    <definedName name="NonAdoptTot" localSheetId="21">#REF!</definedName>
    <definedName name="NonAdoptTot" localSheetId="16">#REF!</definedName>
    <definedName name="NonAdoptTot" localSheetId="28">#REF!</definedName>
    <definedName name="NonAdoptTot" localSheetId="30">#REF!</definedName>
    <definedName name="NonAdoptTot" localSheetId="22">#REF!</definedName>
    <definedName name="NonAdoptTot">#REF!</definedName>
    <definedName name="Paydate" localSheetId="21">#REF!</definedName>
    <definedName name="Paydate" localSheetId="16">#REF!</definedName>
    <definedName name="Paydate" localSheetId="30">#REF!</definedName>
    <definedName name="Paydate" localSheetId="22">#REF!</definedName>
    <definedName name="Paydate">#REF!</definedName>
    <definedName name="period_end" localSheetId="30">#REF!</definedName>
    <definedName name="period_end">#REF!</definedName>
    <definedName name="PipeDia" localSheetId="21">#REF!</definedName>
    <definedName name="PipeDia" localSheetId="16">#REF!</definedName>
    <definedName name="PipeDia" localSheetId="30">#REF!</definedName>
    <definedName name="PipeDia" localSheetId="22">#REF!</definedName>
    <definedName name="PipeDia">#REF!</definedName>
    <definedName name="PipeDiaFW" localSheetId="21">#REF!</definedName>
    <definedName name="PipeDiaFW" localSheetId="16">#REF!</definedName>
    <definedName name="PipeDiaFW" localSheetId="30">#REF!</definedName>
    <definedName name="PipeDiaFW">#REF!</definedName>
    <definedName name="PipeLen" localSheetId="21">#REF!</definedName>
    <definedName name="PipeLen" localSheetId="16">#REF!</definedName>
    <definedName name="PipeLen" localSheetId="30">#REF!</definedName>
    <definedName name="PipeLen">#REF!</definedName>
    <definedName name="PipeLenFW" localSheetId="21">#REF!</definedName>
    <definedName name="PipeLenFW" localSheetId="16">#REF!</definedName>
    <definedName name="PipeLenFW" localSheetId="30">#REF!</definedName>
    <definedName name="PipeLenFW">#REF!</definedName>
    <definedName name="Pipes_1m" localSheetId="21">#REF!</definedName>
    <definedName name="Pipes_1m" localSheetId="16">#REF!</definedName>
    <definedName name="Pipes_1m" localSheetId="30">#REF!</definedName>
    <definedName name="Pipes_1m">#REF!</definedName>
    <definedName name="Pipes_2m" localSheetId="21">#REF!</definedName>
    <definedName name="Pipes_2m" localSheetId="16">#REF!</definedName>
    <definedName name="Pipes_2m" localSheetId="30">#REF!</definedName>
    <definedName name="Pipes_2m">#REF!</definedName>
    <definedName name="Pipes_3m" localSheetId="21">#REF!</definedName>
    <definedName name="Pipes_3m" localSheetId="16">#REF!</definedName>
    <definedName name="Pipes_3m" localSheetId="30">#REF!</definedName>
    <definedName name="Pipes_3m">#REF!</definedName>
    <definedName name="Pipes_4m" localSheetId="21">#REF!</definedName>
    <definedName name="Pipes_4m" localSheetId="16">#REF!</definedName>
    <definedName name="Pipes_4m" localSheetId="30">#REF!</definedName>
    <definedName name="Pipes_4m">#REF!</definedName>
    <definedName name="Pipes_5m" localSheetId="21">#REF!</definedName>
    <definedName name="Pipes_5m" localSheetId="16">#REF!</definedName>
    <definedName name="Pipes_5m" localSheetId="30">#REF!</definedName>
    <definedName name="Pipes_5m">#REF!</definedName>
    <definedName name="PREL_1" localSheetId="21">#REF!</definedName>
    <definedName name="PREL_1" localSheetId="16">#REF!</definedName>
    <definedName name="PREL_1" localSheetId="30">#REF!</definedName>
    <definedName name="PREL_1">#REF!</definedName>
    <definedName name="PREL_2" localSheetId="21">#REF!</definedName>
    <definedName name="PREL_2" localSheetId="16">#REF!</definedName>
    <definedName name="PREL_2" localSheetId="30">#REF!</definedName>
    <definedName name="PREL_2">#REF!</definedName>
    <definedName name="PREL_3" localSheetId="21">#REF!</definedName>
    <definedName name="PREL_3" localSheetId="16">#REF!</definedName>
    <definedName name="PREL_3" localSheetId="30">#REF!</definedName>
    <definedName name="PREL_3">#REF!</definedName>
    <definedName name="PRELIMSTOTAL" localSheetId="28">[7]Prelims!$H$10</definedName>
    <definedName name="PRELIMSTOTAL" localSheetId="30">[7]Prelims!$H$10</definedName>
    <definedName name="PRELIMSTOTAL" localSheetId="22">[8]Prelims!$H$10</definedName>
    <definedName name="PRELIMSTOTAL">[9]Prelims!$H$10</definedName>
    <definedName name="prelimsweeks" localSheetId="28">[7]Prelims!$H$4</definedName>
    <definedName name="prelimsweeks" localSheetId="30">[7]Prelims!$H$4</definedName>
    <definedName name="prelimsweeks" localSheetId="22">[8]Prelims!$H$4</definedName>
    <definedName name="prelimsweeks">[9]Prelims!$H$4</definedName>
    <definedName name="_xlnm.Print_Area" localSheetId="7">'1. Affordable'!$A$1:$S$45</definedName>
    <definedName name="_xlnm.Print_Area" localSheetId="19">'10. Retaining Walls'!$A$1:$AA$78</definedName>
    <definedName name="_xlnm.Print_Area" localSheetId="20">'11. Services'!$A$1:$AH$29</definedName>
    <definedName name="_xlnm.Print_Area" localSheetId="21">'12. Externals'!$A$1:$AH$25</definedName>
    <definedName name="_xlnm.Print_Area" localSheetId="8">'2. CIL'!$A$8:$H$41</definedName>
    <definedName name="_xlnm.Print_Area" localSheetId="9">'3. S106'!$A$1:$AH$33</definedName>
    <definedName name="_xlnm.Print_Area" localSheetId="10">'4. Off Site Wks'!$A$1:$AH$67</definedName>
    <definedName name="_xlnm.Print_Area" localSheetId="11">'5. Cut &amp; Fill'!$A$1:$AH$64</definedName>
    <definedName name="_xlnm.Print_Area" localSheetId="12">'6. Additional Road'!$A$1:$AH$39</definedName>
    <definedName name="_xlnm.Print_Area" localSheetId="13">'7. POS'!$A$1:$AH$34</definedName>
    <definedName name="_xlnm.Print_Area" localSheetId="14">'8a. Foul Sewers'!$A$1:$AH$38</definedName>
    <definedName name="_xlnm.Print_Area" localSheetId="16">'8b. SW Attenuation'!$A$1:$J$42</definedName>
    <definedName name="_xlnm.Print_Area" localSheetId="18">'9. Abnormal Founds'!$A$1:$AL$46</definedName>
    <definedName name="_xlnm.Print_Area" localSheetId="3">#REF!</definedName>
    <definedName name="_xlnm.Print_Area" localSheetId="0">'Breakdown Summary'!$A$1:$R$55</definedName>
    <definedName name="_xlnm.Print_Area" localSheetId="27">'Drainage N1'!$C$1:$AD$48,'Drainage N1'!$A$47:$P$109,'Drainage N1'!$C$132:$AD$170,'Drainage N1'!$A$169:$M$201</definedName>
    <definedName name="_xlnm.Print_Area" localSheetId="29">'Drainage S1'!$C$1:$AD$116,'Drainage S1'!$A$115:$P$245,'Drainage S1'!$C$268:$AD$306,'Drainage S1'!$A$305:$M$337</definedName>
    <definedName name="_xlnm.Print_Area" localSheetId="28">'Drainage take off N1'!$A$1:$L$140</definedName>
    <definedName name="_xlnm.Print_Area" localSheetId="30">'Drainage take off S1'!$A$1:$L$292</definedName>
    <definedName name="_xlnm.Print_Area" localSheetId="15">#N/A</definedName>
    <definedName name="_xlnm.Print_Area" localSheetId="17">'SW Drainage Takeoff'!$A$1:$J$309</definedName>
    <definedName name="_xlnm.Print_Area">#REF!</definedName>
    <definedName name="Print_Area_MI" localSheetId="21">#REF!</definedName>
    <definedName name="Print_Area_MI" localSheetId="16">#REF!</definedName>
    <definedName name="Print_Area_MI" localSheetId="27">#REF!</definedName>
    <definedName name="Print_Area_MI" localSheetId="29">#REF!</definedName>
    <definedName name="Print_Area_MI" localSheetId="28">#REF!</definedName>
    <definedName name="Print_Area_MI" localSheetId="30">#REF!</definedName>
    <definedName name="Print_Area_MI" localSheetId="1">#REF!</definedName>
    <definedName name="Print_Area_MI">#REF!</definedName>
    <definedName name="PRINTAREA" localSheetId="15">#REF!</definedName>
    <definedName name="PRINTAREA" localSheetId="17">#REF!</definedName>
    <definedName name="PRINTAREA">#REF!</definedName>
    <definedName name="PrintBuildCosts">#REF!</definedName>
    <definedName name="PrnAllBill" localSheetId="21">#REF!</definedName>
    <definedName name="PrnAllBill" localSheetId="16">#REF!</definedName>
    <definedName name="PrnAllBill" localSheetId="30">#REF!</definedName>
    <definedName name="PrnAllBill" localSheetId="22">#REF!</definedName>
    <definedName name="PrnAllBill">#REF!</definedName>
    <definedName name="_xlnm.Recorder" localSheetId="15">#REF!</definedName>
    <definedName name="_xlnm.Recorder" localSheetId="17">#REF!</definedName>
    <definedName name="_xlnm.Recorder">#REF!</definedName>
    <definedName name="References">#REF!</definedName>
    <definedName name="retention" localSheetId="21">#REF!</definedName>
    <definedName name="retention" localSheetId="16">#REF!</definedName>
    <definedName name="retention" localSheetId="30">#REF!</definedName>
    <definedName name="retention" localSheetId="22">#REF!</definedName>
    <definedName name="retention">#REF!</definedName>
    <definedName name="Road" localSheetId="15" hidden="1">#REF!</definedName>
    <definedName name="Road" hidden="1">#REF!</definedName>
    <definedName name="ROADS" localSheetId="15">#REF!</definedName>
    <definedName name="ROADS" localSheetId="17">#REF!</definedName>
    <definedName name="ROADS">#N/A</definedName>
    <definedName name="roadstotal" localSheetId="28">'[7] Roads and Sewers'!$H$6</definedName>
    <definedName name="roadstotal" localSheetId="30">'[7] Roads and Sewers'!$H$6</definedName>
    <definedName name="roadstotal" localSheetId="22">'[8] Roads and Sewers'!$H$6</definedName>
    <definedName name="roadstotal">'[9] Roads and Sewers'!$H$6</definedName>
    <definedName name="SALESDURATION" localSheetId="21">#REF!</definedName>
    <definedName name="SALESDURATION" localSheetId="16">#REF!</definedName>
    <definedName name="SALESDURATION" localSheetId="28">#REF!</definedName>
    <definedName name="SALESDURATION" localSheetId="30">#REF!</definedName>
    <definedName name="SALESDURATION" localSheetId="22">#REF!</definedName>
    <definedName name="SALESDURATION">#REF!</definedName>
    <definedName name="SALEUNITS" localSheetId="21">#REF!</definedName>
    <definedName name="SALEUNITS" localSheetId="16">#REF!</definedName>
    <definedName name="SALEUNITS" localSheetId="30">#REF!</definedName>
    <definedName name="SALEUNITS" localSheetId="22">#REF!</definedName>
    <definedName name="SALEUNITS">#REF!</definedName>
    <definedName name="SELEX" localSheetId="21">#REF!</definedName>
    <definedName name="SELEX" localSheetId="16">#REF!</definedName>
    <definedName name="SELEX" localSheetId="30">#REF!</definedName>
    <definedName name="SELEX" localSheetId="22">#REF!</definedName>
    <definedName name="SELEX">#REF!</definedName>
    <definedName name="SELLING" localSheetId="15">#REF!</definedName>
    <definedName name="SELLING" localSheetId="17">#REF!</definedName>
    <definedName name="SELLING">#REF!</definedName>
    <definedName name="SELLINGEXPTOTAL" localSheetId="28">'[7]Sales&amp;Marketing'!$H$12</definedName>
    <definedName name="SELLINGEXPTOTAL" localSheetId="30">'[7]Sales&amp;Marketing'!$H$12</definedName>
    <definedName name="SELLINGEXPTOTAL" localSheetId="22">'[8]Sales&amp;Marketing'!$H$12</definedName>
    <definedName name="SELLINGEXPTOTAL">'[9]Sales&amp;Marketing'!$H$12</definedName>
    <definedName name="SEWERS" localSheetId="15">#REF!</definedName>
    <definedName name="SEWERS" localSheetId="17">#REF!</definedName>
    <definedName name="SEWERS">#N/A</definedName>
    <definedName name="Site_Code" localSheetId="21">#REF!</definedName>
    <definedName name="Site_Code" localSheetId="16">#REF!</definedName>
    <definedName name="Site_Code" localSheetId="28">#REF!</definedName>
    <definedName name="Site_Code" localSheetId="30">#REF!</definedName>
    <definedName name="Site_Code" localSheetId="22">#REF!</definedName>
    <definedName name="Site_Code">#REF!</definedName>
    <definedName name="Site_Development" localSheetId="30">#REF!</definedName>
    <definedName name="Site_Development">#REF!</definedName>
    <definedName name="Site_Name" localSheetId="21">#REF!</definedName>
    <definedName name="Site_Name" localSheetId="16">#REF!</definedName>
    <definedName name="Site_Name" localSheetId="30">#REF!</definedName>
    <definedName name="Site_Name" localSheetId="22">#REF!</definedName>
    <definedName name="Site_Name">#REF!</definedName>
    <definedName name="SITENAME">'[8] Land'!$W$1</definedName>
    <definedName name="sqdsq">[18]Summary!$H$74</definedName>
    <definedName name="STATS_AREA" localSheetId="15">#REF!</definedName>
    <definedName name="STATS_AREA" localSheetId="17">#REF!</definedName>
    <definedName name="STATS_AREA">#REF!</definedName>
    <definedName name="STATS_AREA1" localSheetId="15">#REF!</definedName>
    <definedName name="STATS_AREA1" localSheetId="17">#REF!</definedName>
    <definedName name="STATS_AREA1">#REF!</definedName>
    <definedName name="SUBS_10" localSheetId="28">[19]Substructures!$AM$28</definedName>
    <definedName name="SUBS_10" localSheetId="30">[19]Substructures!$AM$28</definedName>
    <definedName name="SUBS_10">[19]Substructures!$AM$28</definedName>
    <definedName name="SUBS_100" localSheetId="28">'[7] Substructures'!$HE$45</definedName>
    <definedName name="SUBS_100" localSheetId="30">'[7] Substructures'!$HE$45</definedName>
    <definedName name="SUBS_100" localSheetId="22">'[8] Substructures'!$HE$45</definedName>
    <definedName name="SUBS_100">'[9] Substructures'!$HE$45</definedName>
    <definedName name="SUBS_13" localSheetId="28">[19]Substructures!$AV$28</definedName>
    <definedName name="SUBS_13" localSheetId="30">[19]Substructures!$AV$28</definedName>
    <definedName name="SUBS_13">[19]Substructures!$AV$28</definedName>
    <definedName name="SUBS_14" localSheetId="28">[19]Substructures!$AY$28</definedName>
    <definedName name="SUBS_14" localSheetId="30">[19]Substructures!$AY$28</definedName>
    <definedName name="SUBS_14">[19]Substructures!$AY$28</definedName>
    <definedName name="SUBS_16" localSheetId="28">[19]Substructures!$BE$28</definedName>
    <definedName name="SUBS_16" localSheetId="30">[19]Substructures!$BE$28</definedName>
    <definedName name="SUBS_16">[19]Substructures!$BE$28</definedName>
    <definedName name="SUBS_17" localSheetId="28">[19]Substructures!$BH$28</definedName>
    <definedName name="SUBS_17" localSheetId="30">[19]Substructures!$BH$28</definedName>
    <definedName name="SUBS_17">[19]Substructures!$BH$28</definedName>
    <definedName name="SUBS_24" localSheetId="28">'[7] Substructures'!$BI$45</definedName>
    <definedName name="SUBS_24" localSheetId="30">'[7] Substructures'!$BI$45</definedName>
    <definedName name="SUBS_24" localSheetId="22">'[8] Substructures'!$BI$45</definedName>
    <definedName name="SUBS_24">'[9] Substructures'!$BI$45</definedName>
    <definedName name="SUBS_25" localSheetId="28">'[7] Substructures'!$BK$45</definedName>
    <definedName name="SUBS_25" localSheetId="30">'[7] Substructures'!$BK$45</definedName>
    <definedName name="SUBS_25" localSheetId="22">'[8] Substructures'!$BK$45</definedName>
    <definedName name="SUBS_25">'[9] Substructures'!$BK$45</definedName>
    <definedName name="SUBS_26" localSheetId="28">'[7] Substructures'!$BM$45</definedName>
    <definedName name="SUBS_26" localSheetId="30">'[7] Substructures'!$BM$45</definedName>
    <definedName name="SUBS_26" localSheetId="22">'[8] Substructures'!$BM$45</definedName>
    <definedName name="SUBS_26">'[9] Substructures'!$BM$45</definedName>
    <definedName name="SUBS_27" localSheetId="28">'[7] Substructures'!$BO$45</definedName>
    <definedName name="SUBS_27" localSheetId="30">'[7] Substructures'!$BO$45</definedName>
    <definedName name="SUBS_27" localSheetId="22">'[8] Substructures'!$BO$45</definedName>
    <definedName name="SUBS_27">'[9] Substructures'!$BO$45</definedName>
    <definedName name="SUBS_28" localSheetId="28">'[7] Substructures'!$BQ$45</definedName>
    <definedName name="SUBS_28" localSheetId="30">'[7] Substructures'!$BQ$45</definedName>
    <definedName name="SUBS_28" localSheetId="22">'[8] Substructures'!$BQ$45</definedName>
    <definedName name="SUBS_28">'[9] Substructures'!$BQ$45</definedName>
    <definedName name="SUBS_29" localSheetId="28">'[7] Substructures'!$BS$45</definedName>
    <definedName name="SUBS_29" localSheetId="30">'[7] Substructures'!$BS$45</definedName>
    <definedName name="SUBS_29" localSheetId="22">'[8] Substructures'!$BS$45</definedName>
    <definedName name="SUBS_29">'[9] Substructures'!$BS$45</definedName>
    <definedName name="SUBS_30" localSheetId="28">'[7] Substructures'!$BU$45</definedName>
    <definedName name="SUBS_30" localSheetId="30">'[7] Substructures'!$BU$45</definedName>
    <definedName name="SUBS_30" localSheetId="22">'[8] Substructures'!$BU$45</definedName>
    <definedName name="SUBS_30">'[9] Substructures'!$BU$45</definedName>
    <definedName name="SUBS_31" localSheetId="28">'[7] Substructures'!$BW$45</definedName>
    <definedName name="SUBS_31" localSheetId="30">'[7] Substructures'!$BW$45</definedName>
    <definedName name="SUBS_31" localSheetId="22">'[8] Substructures'!$BW$45</definedName>
    <definedName name="SUBS_31">'[9] Substructures'!$BW$45</definedName>
    <definedName name="SUBS_32" localSheetId="28">'[7] Substructures'!$BY$45</definedName>
    <definedName name="SUBS_32" localSheetId="30">'[7] Substructures'!$BY$45</definedName>
    <definedName name="SUBS_32" localSheetId="22">'[8] Substructures'!$BY$45</definedName>
    <definedName name="SUBS_32">'[9] Substructures'!$BY$45</definedName>
    <definedName name="SUBS_33" localSheetId="28">'[7] Substructures'!$CA$45</definedName>
    <definedName name="SUBS_33" localSheetId="30">'[7] Substructures'!$CA$45</definedName>
    <definedName name="SUBS_33" localSheetId="22">'[8] Substructures'!$CA$45</definedName>
    <definedName name="SUBS_33">'[9] Substructures'!$CA$45</definedName>
    <definedName name="SUBS_34" localSheetId="28">'[7] Substructures'!$CC$45</definedName>
    <definedName name="SUBS_34" localSheetId="30">'[7] Substructures'!$CC$45</definedName>
    <definedName name="SUBS_34" localSheetId="22">'[8] Substructures'!$CC$45</definedName>
    <definedName name="SUBS_34">'[9] Substructures'!$CC$45</definedName>
    <definedName name="SUBS_35" localSheetId="28">'[7] Substructures'!$CE$45</definedName>
    <definedName name="SUBS_35" localSheetId="30">'[7] Substructures'!$CE$45</definedName>
    <definedName name="SUBS_35" localSheetId="22">'[8] Substructures'!$CE$45</definedName>
    <definedName name="SUBS_35">'[9] Substructures'!$CE$45</definedName>
    <definedName name="SUBS_36" localSheetId="28">'[7] Substructures'!$CG$45</definedName>
    <definedName name="SUBS_36" localSheetId="30">'[7] Substructures'!$CG$45</definedName>
    <definedName name="SUBS_36" localSheetId="22">'[8] Substructures'!$CG$45</definedName>
    <definedName name="SUBS_36">'[9] Substructures'!$CG$45</definedName>
    <definedName name="SUBS_37" localSheetId="28">'[7] Substructures'!$CI$45</definedName>
    <definedName name="SUBS_37" localSheetId="30">'[7] Substructures'!$CI$45</definedName>
    <definedName name="SUBS_37" localSheetId="22">'[8] Substructures'!$CI$45</definedName>
    <definedName name="SUBS_37">'[9] Substructures'!$CI$45</definedName>
    <definedName name="SUBS_38" localSheetId="28">'[7] Substructures'!$CK$45</definedName>
    <definedName name="SUBS_38" localSheetId="30">'[7] Substructures'!$CK$45</definedName>
    <definedName name="SUBS_38" localSheetId="22">'[8] Substructures'!$CK$45</definedName>
    <definedName name="SUBS_38">'[9] Substructures'!$CK$45</definedName>
    <definedName name="SUBS_39" localSheetId="28">'[7] Substructures'!$CM$45</definedName>
    <definedName name="SUBS_39" localSheetId="30">'[7] Substructures'!$CM$45</definedName>
    <definedName name="SUBS_39" localSheetId="22">'[8] Substructures'!$CM$45</definedName>
    <definedName name="SUBS_39">'[9] Substructures'!$CM$45</definedName>
    <definedName name="SUBS_40" localSheetId="28">'[7] Substructures'!$CO$45</definedName>
    <definedName name="SUBS_40" localSheetId="30">'[7] Substructures'!$CO$45</definedName>
    <definedName name="SUBS_40" localSheetId="22">'[8] Substructures'!$CO$45</definedName>
    <definedName name="SUBS_40">'[9] Substructures'!$CO$45</definedName>
    <definedName name="SUBS_41" localSheetId="28">'[7] Substructures'!$CQ$45</definedName>
    <definedName name="SUBS_41" localSheetId="30">'[7] Substructures'!$CQ$45</definedName>
    <definedName name="SUBS_41" localSheetId="22">'[8] Substructures'!$CQ$45</definedName>
    <definedName name="SUBS_41">'[9] Substructures'!$CQ$45</definedName>
    <definedName name="SUBS_42" localSheetId="28">'[7] Substructures'!$CS$45</definedName>
    <definedName name="SUBS_42" localSheetId="30">'[7] Substructures'!$CS$45</definedName>
    <definedName name="SUBS_42" localSheetId="22">'[8] Substructures'!$CS$45</definedName>
    <definedName name="SUBS_42">'[9] Substructures'!$CS$45</definedName>
    <definedName name="SUBS_43" localSheetId="28">'[7] Substructures'!$CU$45</definedName>
    <definedName name="SUBS_43" localSheetId="30">'[7] Substructures'!$CU$45</definedName>
    <definedName name="SUBS_43" localSheetId="22">'[8] Substructures'!$CU$45</definedName>
    <definedName name="SUBS_43">'[9] Substructures'!$CU$45</definedName>
    <definedName name="SUBS_44" localSheetId="28">'[7] Substructures'!$CW$45</definedName>
    <definedName name="SUBS_44" localSheetId="30">'[7] Substructures'!$CW$45</definedName>
    <definedName name="SUBS_44" localSheetId="22">'[8] Substructures'!$CW$45</definedName>
    <definedName name="SUBS_44">'[9] Substructures'!$CW$45</definedName>
    <definedName name="SUBS_45" localSheetId="28">'[7] Substructures'!$CY$45</definedName>
    <definedName name="SUBS_45" localSheetId="30">'[7] Substructures'!$CY$45</definedName>
    <definedName name="SUBS_45" localSheetId="22">'[8] Substructures'!$CY$45</definedName>
    <definedName name="SUBS_45">'[9] Substructures'!$CY$45</definedName>
    <definedName name="SUBS_46" localSheetId="28">'[7] Substructures'!$DA$45</definedName>
    <definedName name="SUBS_46" localSheetId="30">'[7] Substructures'!$DA$45</definedName>
    <definedName name="SUBS_46" localSheetId="22">'[8] Substructures'!$DA$45</definedName>
    <definedName name="SUBS_46">'[9] Substructures'!$DA$45</definedName>
    <definedName name="SUBS_47" localSheetId="28">'[7] Substructures'!$DC$45</definedName>
    <definedName name="SUBS_47" localSheetId="30">'[7] Substructures'!$DC$45</definedName>
    <definedName name="SUBS_47" localSheetId="22">'[8] Substructures'!$DC$45</definedName>
    <definedName name="SUBS_47">'[9] Substructures'!$DC$45</definedName>
    <definedName name="SUBS_48" localSheetId="28">'[7] Substructures'!$DE$45</definedName>
    <definedName name="SUBS_48" localSheetId="30">'[7] Substructures'!$DE$45</definedName>
    <definedName name="SUBS_48" localSheetId="22">'[8] Substructures'!$DE$45</definedName>
    <definedName name="SUBS_48">'[9] Substructures'!$DE$45</definedName>
    <definedName name="SUBS_49" localSheetId="28">'[7] Substructures'!$DG$45</definedName>
    <definedName name="SUBS_49" localSheetId="30">'[7] Substructures'!$DG$45</definedName>
    <definedName name="SUBS_49" localSheetId="22">'[8] Substructures'!$DG$45</definedName>
    <definedName name="SUBS_49">'[9] Substructures'!$DG$45</definedName>
    <definedName name="SUBS_50" localSheetId="28">'[7] Substructures'!$DI$45</definedName>
    <definedName name="SUBS_50" localSheetId="30">'[7] Substructures'!$DI$45</definedName>
    <definedName name="SUBS_50" localSheetId="22">'[8] Substructures'!$DI$45</definedName>
    <definedName name="SUBS_50">'[9] Substructures'!$DI$45</definedName>
    <definedName name="SUBS_51" localSheetId="28">'[7] Substructures'!$DK$45</definedName>
    <definedName name="SUBS_51" localSheetId="30">'[7] Substructures'!$DK$45</definedName>
    <definedName name="SUBS_51" localSheetId="22">'[8] Substructures'!$DK$45</definedName>
    <definedName name="SUBS_51">'[9] Substructures'!$DK$45</definedName>
    <definedName name="SUBS_52" localSheetId="28">'[7] Substructures'!$DM$45</definedName>
    <definedName name="SUBS_52" localSheetId="30">'[7] Substructures'!$DM$45</definedName>
    <definedName name="SUBS_52" localSheetId="22">'[8] Substructures'!$DM$45</definedName>
    <definedName name="SUBS_52">'[9] Substructures'!$DM$45</definedName>
    <definedName name="SUBS_53" localSheetId="28">'[7] Substructures'!$DO$45</definedName>
    <definedName name="SUBS_53" localSheetId="30">'[7] Substructures'!$DO$45</definedName>
    <definedName name="SUBS_53" localSheetId="22">'[8] Substructures'!$DO$45</definedName>
    <definedName name="SUBS_53">'[9] Substructures'!$DO$45</definedName>
    <definedName name="SUBS_54" localSheetId="28">'[7] Substructures'!$DQ$45</definedName>
    <definedName name="SUBS_54" localSheetId="30">'[7] Substructures'!$DQ$45</definedName>
    <definedName name="SUBS_54" localSheetId="22">'[8] Substructures'!$DQ$45</definedName>
    <definedName name="SUBS_54">'[9] Substructures'!$DQ$45</definedName>
    <definedName name="SUBS_55" localSheetId="28">'[7] Substructures'!$DS$45</definedName>
    <definedName name="SUBS_55" localSheetId="30">'[7] Substructures'!$DS$45</definedName>
    <definedName name="SUBS_55" localSheetId="22">'[8] Substructures'!$DS$45</definedName>
    <definedName name="SUBS_55">'[9] Substructures'!$DS$45</definedName>
    <definedName name="SUBS_56" localSheetId="28">'[7] Substructures'!$DU$45</definedName>
    <definedName name="SUBS_56" localSheetId="30">'[7] Substructures'!$DU$45</definedName>
    <definedName name="SUBS_56" localSheetId="22">'[8] Substructures'!$DU$45</definedName>
    <definedName name="SUBS_56">'[9] Substructures'!$DU$45</definedName>
    <definedName name="SUBS_57" localSheetId="28">'[7] Substructures'!$DW$45</definedName>
    <definedName name="SUBS_57" localSheetId="30">'[7] Substructures'!$DW$45</definedName>
    <definedName name="SUBS_57" localSheetId="22">'[8] Substructures'!$DW$45</definedName>
    <definedName name="SUBS_57">'[9] Substructures'!$DW$45</definedName>
    <definedName name="SUBS_58" localSheetId="28">'[7] Substructures'!$DY$45</definedName>
    <definedName name="SUBS_58" localSheetId="30">'[7] Substructures'!$DY$45</definedName>
    <definedName name="SUBS_58" localSheetId="22">'[8] Substructures'!$DY$45</definedName>
    <definedName name="SUBS_58">'[9] Substructures'!$DY$45</definedName>
    <definedName name="SUBS_59" localSheetId="28">'[7] Substructures'!$EA$45</definedName>
    <definedName name="SUBS_59" localSheetId="30">'[7] Substructures'!$EA$45</definedName>
    <definedName name="SUBS_59" localSheetId="22">'[8] Substructures'!$EA$45</definedName>
    <definedName name="SUBS_59">'[9] Substructures'!$EA$45</definedName>
    <definedName name="SUBS_60" localSheetId="28">'[7] Substructures'!$EC$45</definedName>
    <definedName name="SUBS_60" localSheetId="30">'[7] Substructures'!$EC$45</definedName>
    <definedName name="SUBS_60" localSheetId="22">'[8] Substructures'!$EC$45</definedName>
    <definedName name="SUBS_60">'[9] Substructures'!$EC$45</definedName>
    <definedName name="SUBS_61" localSheetId="28">'[7] Substructures'!$EE$45</definedName>
    <definedName name="SUBS_61" localSheetId="30">'[7] Substructures'!$EE$45</definedName>
    <definedName name="SUBS_61" localSheetId="22">'[8] Substructures'!$EE$45</definedName>
    <definedName name="SUBS_61">'[9] Substructures'!$EE$45</definedName>
    <definedName name="SUBS_62" localSheetId="28">'[7] Substructures'!$EG$45</definedName>
    <definedName name="SUBS_62" localSheetId="30">'[7] Substructures'!$EG$45</definedName>
    <definedName name="SUBS_62" localSheetId="22">'[8] Substructures'!$EG$45</definedName>
    <definedName name="SUBS_62">'[9] Substructures'!$EG$45</definedName>
    <definedName name="SUBS_63" localSheetId="28">'[7] Substructures'!$EI$45</definedName>
    <definedName name="SUBS_63" localSheetId="30">'[7] Substructures'!$EI$45</definedName>
    <definedName name="SUBS_63" localSheetId="22">'[8] Substructures'!$EI$45</definedName>
    <definedName name="SUBS_63">'[9] Substructures'!$EI$45</definedName>
    <definedName name="SUBS_64" localSheetId="28">'[7] Substructures'!$EK$45</definedName>
    <definedName name="SUBS_64" localSheetId="30">'[7] Substructures'!$EK$45</definedName>
    <definedName name="SUBS_64" localSheetId="22">'[8] Substructures'!$EK$45</definedName>
    <definedName name="SUBS_64">'[9] Substructures'!$EK$45</definedName>
    <definedName name="SUBS_65" localSheetId="28">'[7] Substructures'!$EM$45</definedName>
    <definedName name="SUBS_65" localSheetId="30">'[7] Substructures'!$EM$45</definedName>
    <definedName name="SUBS_65" localSheetId="22">'[8] Substructures'!$EM$45</definedName>
    <definedName name="SUBS_65">'[9] Substructures'!$EM$45</definedName>
    <definedName name="SUBS_66" localSheetId="28">'[7] Substructures'!$EO$45</definedName>
    <definedName name="SUBS_66" localSheetId="30">'[7] Substructures'!$EO$45</definedName>
    <definedName name="SUBS_66" localSheetId="22">'[8] Substructures'!$EO$45</definedName>
    <definedName name="SUBS_66">'[9] Substructures'!$EO$45</definedName>
    <definedName name="SUBS_67" localSheetId="28">'[7] Substructures'!$EQ$45</definedName>
    <definedName name="SUBS_67" localSheetId="30">'[7] Substructures'!$EQ$45</definedName>
    <definedName name="SUBS_67" localSheetId="22">'[8] Substructures'!$EQ$45</definedName>
    <definedName name="SUBS_67">'[9] Substructures'!$EQ$45</definedName>
    <definedName name="SUBS_68" localSheetId="28">'[7] Substructures'!$ES$45</definedName>
    <definedName name="SUBS_68" localSheetId="30">'[7] Substructures'!$ES$45</definedName>
    <definedName name="SUBS_68" localSheetId="22">'[8] Substructures'!$ES$45</definedName>
    <definedName name="SUBS_68">'[9] Substructures'!$ES$45</definedName>
    <definedName name="SUBS_69" localSheetId="28">'[7] Substructures'!$EU$45</definedName>
    <definedName name="SUBS_69" localSheetId="30">'[7] Substructures'!$EU$45</definedName>
    <definedName name="SUBS_69" localSheetId="22">'[8] Substructures'!$EU$45</definedName>
    <definedName name="SUBS_69">'[9] Substructures'!$EU$45</definedName>
    <definedName name="SUBS_70" localSheetId="28">'[7] Substructures'!$EW$45</definedName>
    <definedName name="SUBS_70" localSheetId="30">'[7] Substructures'!$EW$45</definedName>
    <definedName name="SUBS_70" localSheetId="22">'[8] Substructures'!$EW$45</definedName>
    <definedName name="SUBS_70">'[9] Substructures'!$EW$45</definedName>
    <definedName name="SUBS_71" localSheetId="28">'[7] Substructures'!$EY$45</definedName>
    <definedName name="SUBS_71" localSheetId="30">'[7] Substructures'!$EY$45</definedName>
    <definedName name="SUBS_71" localSheetId="22">'[8] Substructures'!$EY$45</definedName>
    <definedName name="SUBS_71">'[9] Substructures'!$EY$45</definedName>
    <definedName name="SUBS_72" localSheetId="28">'[7] Substructures'!$FA$45</definedName>
    <definedName name="SUBS_72" localSheetId="30">'[7] Substructures'!$FA$45</definedName>
    <definedName name="SUBS_72" localSheetId="22">'[8] Substructures'!$FA$45</definedName>
    <definedName name="SUBS_72">'[9] Substructures'!$FA$45</definedName>
    <definedName name="SUBS_73" localSheetId="28">'[7] Substructures'!$FC$45</definedName>
    <definedName name="SUBS_73" localSheetId="30">'[7] Substructures'!$FC$45</definedName>
    <definedName name="SUBS_73" localSheetId="22">'[8] Substructures'!$FC$45</definedName>
    <definedName name="SUBS_73">'[9] Substructures'!$FC$45</definedName>
    <definedName name="SUBS_74" localSheetId="28">'[7] Substructures'!$FE$45</definedName>
    <definedName name="SUBS_74" localSheetId="30">'[7] Substructures'!$FE$45</definedName>
    <definedName name="SUBS_74" localSheetId="22">'[8] Substructures'!$FE$45</definedName>
    <definedName name="SUBS_74">'[9] Substructures'!$FE$45</definedName>
    <definedName name="SUBS_75" localSheetId="28">'[7] Substructures'!$FG$45</definedName>
    <definedName name="SUBS_75" localSheetId="30">'[7] Substructures'!$FG$45</definedName>
    <definedName name="SUBS_75" localSheetId="22">'[8] Substructures'!$FG$45</definedName>
    <definedName name="SUBS_75">'[9] Substructures'!$FG$45</definedName>
    <definedName name="SUBS_76" localSheetId="28">'[7] Substructures'!$FI$45</definedName>
    <definedName name="SUBS_76" localSheetId="30">'[7] Substructures'!$FI$45</definedName>
    <definedName name="SUBS_76" localSheetId="22">'[8] Substructures'!$FI$45</definedName>
    <definedName name="SUBS_76">'[9] Substructures'!$FI$45</definedName>
    <definedName name="SUBS_77" localSheetId="28">'[7] Substructures'!$FK$45</definedName>
    <definedName name="SUBS_77" localSheetId="30">'[7] Substructures'!$FK$45</definedName>
    <definedName name="SUBS_77" localSheetId="22">'[8] Substructures'!$FK$45</definedName>
    <definedName name="SUBS_77">'[9] Substructures'!$FK$45</definedName>
    <definedName name="SUBS_78" localSheetId="28">'[7] Substructures'!$FM$45</definedName>
    <definedName name="SUBS_78" localSheetId="30">'[7] Substructures'!$FM$45</definedName>
    <definedName name="SUBS_78" localSheetId="22">'[8] Substructures'!$FM$45</definedName>
    <definedName name="SUBS_78">'[9] Substructures'!$FM$45</definedName>
    <definedName name="SUBS_79" localSheetId="28">'[7] Substructures'!$FO$45</definedName>
    <definedName name="SUBS_79" localSheetId="30">'[7] Substructures'!$FO$45</definedName>
    <definedName name="SUBS_79" localSheetId="22">'[8] Substructures'!$FO$45</definedName>
    <definedName name="SUBS_79">'[9] Substructures'!$FO$45</definedName>
    <definedName name="SUBS_80" localSheetId="28">'[7] Substructures'!$FQ$45</definedName>
    <definedName name="SUBS_80" localSheetId="30">'[7] Substructures'!$FQ$45</definedName>
    <definedName name="SUBS_80" localSheetId="22">'[8] Substructures'!$FQ$45</definedName>
    <definedName name="SUBS_80">'[9] Substructures'!$FQ$45</definedName>
    <definedName name="SUBS_81" localSheetId="28">'[7] Substructures'!$FS$45</definedName>
    <definedName name="SUBS_81" localSheetId="30">'[7] Substructures'!$FS$45</definedName>
    <definedName name="SUBS_81" localSheetId="22">'[8] Substructures'!$FS$45</definedName>
    <definedName name="SUBS_81">'[9] Substructures'!$FS$45</definedName>
    <definedName name="SUBS_82" localSheetId="28">'[7] Substructures'!$FU$45</definedName>
    <definedName name="SUBS_82" localSheetId="30">'[7] Substructures'!$FU$45</definedName>
    <definedName name="SUBS_82" localSheetId="22">'[8] Substructures'!$FU$45</definedName>
    <definedName name="SUBS_82">'[9] Substructures'!$FU$45</definedName>
    <definedName name="SUBS_83" localSheetId="28">'[7] Substructures'!$FW$45</definedName>
    <definedName name="SUBS_83" localSheetId="30">'[7] Substructures'!$FW$45</definedName>
    <definedName name="SUBS_83" localSheetId="22">'[8] Substructures'!$FW$45</definedName>
    <definedName name="SUBS_83">'[9] Substructures'!$FW$45</definedName>
    <definedName name="SUBS_84" localSheetId="28">'[7] Substructures'!$FY$45</definedName>
    <definedName name="SUBS_84" localSheetId="30">'[7] Substructures'!$FY$45</definedName>
    <definedName name="SUBS_84" localSheetId="22">'[8] Substructures'!$FY$45</definedName>
    <definedName name="SUBS_84">'[9] Substructures'!$FY$45</definedName>
    <definedName name="SUBS_85" localSheetId="28">'[7] Substructures'!$GA$45</definedName>
    <definedName name="SUBS_85" localSheetId="30">'[7] Substructures'!$GA$45</definedName>
    <definedName name="SUBS_85" localSheetId="22">'[8] Substructures'!$GA$45</definedName>
    <definedName name="SUBS_85">'[9] Substructures'!$GA$45</definedName>
    <definedName name="SUBS_86" localSheetId="28">'[7] Substructures'!$GC$45</definedName>
    <definedName name="SUBS_86" localSheetId="30">'[7] Substructures'!$GC$45</definedName>
    <definedName name="SUBS_86" localSheetId="22">'[8] Substructures'!$GC$45</definedName>
    <definedName name="SUBS_86">'[9] Substructures'!$GC$45</definedName>
    <definedName name="SUBS_87" localSheetId="28">'[7] Substructures'!$GE$45</definedName>
    <definedName name="SUBS_87" localSheetId="30">'[7] Substructures'!$GE$45</definedName>
    <definedName name="SUBS_87" localSheetId="22">'[8] Substructures'!$GE$45</definedName>
    <definedName name="SUBS_87">'[9] Substructures'!$GE$45</definedName>
    <definedName name="SUBS_88" localSheetId="28">'[7] Substructures'!$GG$45</definedName>
    <definedName name="SUBS_88" localSheetId="30">'[7] Substructures'!$GG$45</definedName>
    <definedName name="SUBS_88" localSheetId="22">'[8] Substructures'!$GG$45</definedName>
    <definedName name="SUBS_88">'[9] Substructures'!$GG$45</definedName>
    <definedName name="SUBS_89" localSheetId="28">'[7] Substructures'!$GI$45</definedName>
    <definedName name="SUBS_89" localSheetId="30">'[7] Substructures'!$GI$45</definedName>
    <definedName name="SUBS_89" localSheetId="22">'[8] Substructures'!$GI$45</definedName>
    <definedName name="SUBS_89">'[9] Substructures'!$GI$45</definedName>
    <definedName name="SUBS_90" localSheetId="28">'[7] Substructures'!$GK$45</definedName>
    <definedName name="SUBS_90" localSheetId="30">'[7] Substructures'!$GK$45</definedName>
    <definedName name="SUBS_90" localSheetId="22">'[8] Substructures'!$GK$45</definedName>
    <definedName name="SUBS_90">'[9] Substructures'!$GK$45</definedName>
    <definedName name="SUBS_91" localSheetId="28">'[7] Substructures'!$GM$45</definedName>
    <definedName name="SUBS_91" localSheetId="30">'[7] Substructures'!$GM$45</definedName>
    <definedName name="SUBS_91" localSheetId="22">'[8] Substructures'!$GM$45</definedName>
    <definedName name="SUBS_91">'[9] Substructures'!$GM$45</definedName>
    <definedName name="SUBS_92" localSheetId="28">'[7] Substructures'!$GO$45</definedName>
    <definedName name="SUBS_92" localSheetId="30">'[7] Substructures'!$GO$45</definedName>
    <definedName name="SUBS_92" localSheetId="22">'[8] Substructures'!$GO$45</definedName>
    <definedName name="SUBS_92">'[9] Substructures'!$GO$45</definedName>
    <definedName name="SUBS_93" localSheetId="28">'[7] Substructures'!$GQ$45</definedName>
    <definedName name="SUBS_93" localSheetId="30">'[7] Substructures'!$GQ$45</definedName>
    <definedName name="SUBS_93" localSheetId="22">'[8] Substructures'!$GQ$45</definedName>
    <definedName name="SUBS_93">'[9] Substructures'!$GQ$45</definedName>
    <definedName name="SUBS_94" localSheetId="28">'[7] Substructures'!$GS$45</definedName>
    <definedName name="SUBS_94" localSheetId="30">'[7] Substructures'!$GS$45</definedName>
    <definedName name="SUBS_94" localSheetId="22">'[8] Substructures'!$GS$45</definedName>
    <definedName name="SUBS_94">'[9] Substructures'!$GS$45</definedName>
    <definedName name="SUBS_95" localSheetId="28">'[7] Substructures'!$GU$45</definedName>
    <definedName name="SUBS_95" localSheetId="30">'[7] Substructures'!$GU$45</definedName>
    <definedName name="SUBS_95" localSheetId="22">'[8] Substructures'!$GU$45</definedName>
    <definedName name="SUBS_95">'[9] Substructures'!$GU$45</definedName>
    <definedName name="SUBS_96" localSheetId="28">'[7] Substructures'!$GW$45</definedName>
    <definedName name="SUBS_96" localSheetId="30">'[7] Substructures'!$GW$45</definedName>
    <definedName name="SUBS_96" localSheetId="22">'[8] Substructures'!$GW$45</definedName>
    <definedName name="SUBS_96">'[9] Substructures'!$GW$45</definedName>
    <definedName name="SUBS_97" localSheetId="28">'[7] Substructures'!$GY$45</definedName>
    <definedName name="SUBS_97" localSheetId="30">'[7] Substructures'!$GY$45</definedName>
    <definedName name="SUBS_97" localSheetId="22">'[8] Substructures'!$GY$45</definedName>
    <definedName name="SUBS_97">'[9] Substructures'!$GY$45</definedName>
    <definedName name="SUBS_98" localSheetId="28">'[7] Substructures'!$HA$45</definedName>
    <definedName name="SUBS_98" localSheetId="30">'[7] Substructures'!$HA$45</definedName>
    <definedName name="SUBS_98" localSheetId="22">'[8] Substructures'!$HA$45</definedName>
    <definedName name="SUBS_98">'[9] Substructures'!$HA$45</definedName>
    <definedName name="SUBS_99" localSheetId="28">'[7] Substructures'!$HC$45</definedName>
    <definedName name="SUBS_99" localSheetId="30">'[7] Substructures'!$HC$45</definedName>
    <definedName name="SUBS_99" localSheetId="22">'[8] Substructures'!$HC$45</definedName>
    <definedName name="SUBS_99">'[9] Substructures'!$HC$45</definedName>
    <definedName name="summ1" localSheetId="3">#REF!</definedName>
    <definedName name="summ1">#REF!</definedName>
    <definedName name="summ2" localSheetId="3">#REF!</definedName>
    <definedName name="summ2">#REF!</definedName>
    <definedName name="summ3" localSheetId="3">#REF!</definedName>
    <definedName name="summ3">#REF!</definedName>
    <definedName name="summ4">#REF!</definedName>
    <definedName name="SUMM5">#REF!</definedName>
    <definedName name="SUMMARY">[20]SUM_OF_COST!$D$22:$AQ$108</definedName>
    <definedName name="SUPERS_10" localSheetId="21">'[9] Supers Trades'!#REF!</definedName>
    <definedName name="SUPERS_10" localSheetId="3">'[9] Supers Trades'!#REF!</definedName>
    <definedName name="SUPERS_10" localSheetId="28">'[7] Supers Trades'!#REF!</definedName>
    <definedName name="SUPERS_10" localSheetId="30">'[7] Supers Trades'!#REF!</definedName>
    <definedName name="SUPERS_10" localSheetId="22">'[8] Supers Trades'!#REF!</definedName>
    <definedName name="SUPERS_10">'[9] Supers Trades'!#REF!</definedName>
    <definedName name="SUPERS_100" localSheetId="28">'[7] Supers Trades'!$HG$106</definedName>
    <definedName name="SUPERS_100" localSheetId="30">'[7] Supers Trades'!$HG$106</definedName>
    <definedName name="SUPERS_100" localSheetId="22">'[8] Supers Trades'!$HG$106</definedName>
    <definedName name="SUPERS_100">'[9] Supers Trades'!$HG$106</definedName>
    <definedName name="SUPERS_11" localSheetId="21">'[9] Supers Trades'!#REF!</definedName>
    <definedName name="SUPERS_11" localSheetId="3">'[9] Supers Trades'!#REF!</definedName>
    <definedName name="SUPERS_11" localSheetId="28">'[7] Supers Trades'!#REF!</definedName>
    <definedName name="SUPERS_11" localSheetId="30">'[7] Supers Trades'!#REF!</definedName>
    <definedName name="SUPERS_11" localSheetId="22">'[8] Supers Trades'!#REF!</definedName>
    <definedName name="SUPERS_11">'[9] Supers Trades'!#REF!</definedName>
    <definedName name="SUPERS_12" localSheetId="21">'[9] Supers Trades'!#REF!</definedName>
    <definedName name="SUPERS_12" localSheetId="28">'[7] Supers Trades'!#REF!</definedName>
    <definedName name="SUPERS_12" localSheetId="30">'[7] Supers Trades'!#REF!</definedName>
    <definedName name="SUPERS_12" localSheetId="22">'[8] Supers Trades'!#REF!</definedName>
    <definedName name="SUPERS_12">'[9] Supers Trades'!#REF!</definedName>
    <definedName name="SUPERS_13" localSheetId="21">'[9] Supers Trades'!#REF!</definedName>
    <definedName name="SUPERS_13" localSheetId="28">'[7] Supers Trades'!#REF!</definedName>
    <definedName name="SUPERS_13" localSheetId="30">'[7] Supers Trades'!#REF!</definedName>
    <definedName name="SUPERS_13" localSheetId="22">'[8] Supers Trades'!#REF!</definedName>
    <definedName name="SUPERS_13">'[9] Supers Trades'!#REF!</definedName>
    <definedName name="SUPERS_14" localSheetId="21">'[9] Supers Trades'!#REF!</definedName>
    <definedName name="SUPERS_14" localSheetId="28">'[7] Supers Trades'!#REF!</definedName>
    <definedName name="SUPERS_14" localSheetId="30">'[7] Supers Trades'!#REF!</definedName>
    <definedName name="SUPERS_14" localSheetId="22">'[8] Supers Trades'!#REF!</definedName>
    <definedName name="SUPERS_14">'[9] Supers Trades'!#REF!</definedName>
    <definedName name="SUPERS_15" localSheetId="21">'[9] Supers Trades'!#REF!</definedName>
    <definedName name="SUPERS_15" localSheetId="28">'[7] Supers Trades'!#REF!</definedName>
    <definedName name="SUPERS_15" localSheetId="30">'[7] Supers Trades'!#REF!</definedName>
    <definedName name="SUPERS_15" localSheetId="22">'[8] Supers Trades'!#REF!</definedName>
    <definedName name="SUPERS_15">'[9] Supers Trades'!#REF!</definedName>
    <definedName name="SUPERS_16" localSheetId="21">'[9] Supers Trades'!#REF!</definedName>
    <definedName name="SUPERS_16" localSheetId="28">'[7] Supers Trades'!#REF!</definedName>
    <definedName name="SUPERS_16" localSheetId="30">'[7] Supers Trades'!#REF!</definedName>
    <definedName name="SUPERS_16" localSheetId="22">'[8] Supers Trades'!#REF!</definedName>
    <definedName name="SUPERS_16">'[9] Supers Trades'!#REF!</definedName>
    <definedName name="SUPERS_17" localSheetId="21">'[9] Supers Trades'!#REF!</definedName>
    <definedName name="SUPERS_17" localSheetId="28">'[7] Supers Trades'!#REF!</definedName>
    <definedName name="SUPERS_17" localSheetId="30">'[7] Supers Trades'!#REF!</definedName>
    <definedName name="SUPERS_17" localSheetId="22">'[8] Supers Trades'!#REF!</definedName>
    <definedName name="SUPERS_17">'[9] Supers Trades'!#REF!</definedName>
    <definedName name="SUPERS_18" localSheetId="21">'[9] Supers Trades'!#REF!</definedName>
    <definedName name="SUPERS_18" localSheetId="28">'[7] Supers Trades'!#REF!</definedName>
    <definedName name="SUPERS_18" localSheetId="30">'[7] Supers Trades'!#REF!</definedName>
    <definedName name="SUPERS_18" localSheetId="22">'[8] Supers Trades'!#REF!</definedName>
    <definedName name="SUPERS_18">'[9] Supers Trades'!#REF!</definedName>
    <definedName name="SUPERS_19" localSheetId="21">'[9] Supers Trades'!#REF!</definedName>
    <definedName name="SUPERS_19" localSheetId="28">'[7] Supers Trades'!#REF!</definedName>
    <definedName name="SUPERS_19" localSheetId="30">'[7] Supers Trades'!#REF!</definedName>
    <definedName name="SUPERS_19" localSheetId="22">'[8] Supers Trades'!#REF!</definedName>
    <definedName name="SUPERS_19">'[9] Supers Trades'!#REF!</definedName>
    <definedName name="SUPERS_2" localSheetId="21">'[9] Supers Trades'!#REF!</definedName>
    <definedName name="SUPERS_2" localSheetId="28">'[7] Supers Trades'!#REF!</definedName>
    <definedName name="SUPERS_2" localSheetId="30">'[7] Supers Trades'!#REF!</definedName>
    <definedName name="SUPERS_2" localSheetId="22">'[8] Supers Trades'!#REF!</definedName>
    <definedName name="SUPERS_2">'[9] Supers Trades'!#REF!</definedName>
    <definedName name="SUPERS_20" localSheetId="21">'[9] Supers Trades'!#REF!</definedName>
    <definedName name="SUPERS_20" localSheetId="28">'[7] Supers Trades'!#REF!</definedName>
    <definedName name="SUPERS_20" localSheetId="30">'[7] Supers Trades'!#REF!</definedName>
    <definedName name="SUPERS_20" localSheetId="22">'[8] Supers Trades'!#REF!</definedName>
    <definedName name="SUPERS_20">'[9] Supers Trades'!#REF!</definedName>
    <definedName name="SUPERS_21" localSheetId="21">'[9] Supers Trades'!#REF!</definedName>
    <definedName name="SUPERS_21" localSheetId="28">'[7] Supers Trades'!#REF!</definedName>
    <definedName name="SUPERS_21" localSheetId="30">'[7] Supers Trades'!#REF!</definedName>
    <definedName name="SUPERS_21" localSheetId="22">'[8] Supers Trades'!#REF!</definedName>
    <definedName name="SUPERS_21">'[9] Supers Trades'!#REF!</definedName>
    <definedName name="SUPERS_22" localSheetId="21">'[9] Supers Trades'!#REF!</definedName>
    <definedName name="SUPERS_22" localSheetId="28">'[7] Supers Trades'!#REF!</definedName>
    <definedName name="SUPERS_22" localSheetId="30">'[7] Supers Trades'!#REF!</definedName>
    <definedName name="SUPERS_22" localSheetId="22">'[8] Supers Trades'!#REF!</definedName>
    <definedName name="SUPERS_22">'[9] Supers Trades'!#REF!</definedName>
    <definedName name="SUPERS_23" localSheetId="21">'[9] Supers Trades'!#REF!</definedName>
    <definedName name="SUPERS_23" localSheetId="28">'[7] Supers Trades'!#REF!</definedName>
    <definedName name="SUPERS_23" localSheetId="30">'[7] Supers Trades'!#REF!</definedName>
    <definedName name="SUPERS_23" localSheetId="22">'[8] Supers Trades'!#REF!</definedName>
    <definedName name="SUPERS_23">'[9] Supers Trades'!#REF!</definedName>
    <definedName name="SUPERS_24" localSheetId="28">'[7] Supers Trades'!$BK$106</definedName>
    <definedName name="SUPERS_24" localSheetId="30">'[7] Supers Trades'!$BK$106</definedName>
    <definedName name="SUPERS_24" localSheetId="22">'[8] Supers Trades'!$BK$106</definedName>
    <definedName name="SUPERS_24">'[9] Supers Trades'!$BK$106</definedName>
    <definedName name="SUPERS_25" localSheetId="28">'[7] Supers Trades'!$BM$106</definedName>
    <definedName name="SUPERS_25" localSheetId="30">'[7] Supers Trades'!$BM$106</definedName>
    <definedName name="SUPERS_25" localSheetId="22">'[8] Supers Trades'!$BM$106</definedName>
    <definedName name="SUPERS_25">'[9] Supers Trades'!$BM$106</definedName>
    <definedName name="SUPERS_26" localSheetId="28">'[7] Supers Trades'!$BO$106</definedName>
    <definedName name="SUPERS_26" localSheetId="30">'[7] Supers Trades'!$BO$106</definedName>
    <definedName name="SUPERS_26" localSheetId="22">'[8] Supers Trades'!$BO$106</definedName>
    <definedName name="SUPERS_26">'[9] Supers Trades'!$BO$106</definedName>
    <definedName name="SUPERS_27" localSheetId="28">'[7] Supers Trades'!$BQ$106</definedName>
    <definedName name="SUPERS_27" localSheetId="30">'[7] Supers Trades'!$BQ$106</definedName>
    <definedName name="SUPERS_27" localSheetId="22">'[8] Supers Trades'!$BQ$106</definedName>
    <definedName name="SUPERS_27">'[9] Supers Trades'!$BQ$106</definedName>
    <definedName name="SUPERS_28" localSheetId="28">'[7] Supers Trades'!$BS$106</definedName>
    <definedName name="SUPERS_28" localSheetId="30">'[7] Supers Trades'!$BS$106</definedName>
    <definedName name="SUPERS_28" localSheetId="22">'[8] Supers Trades'!$BS$106</definedName>
    <definedName name="SUPERS_28">'[9] Supers Trades'!$BS$106</definedName>
    <definedName name="SUPERS_29" localSheetId="28">'[7] Supers Trades'!$BU$106</definedName>
    <definedName name="SUPERS_29" localSheetId="30">'[7] Supers Trades'!$BU$106</definedName>
    <definedName name="SUPERS_29" localSheetId="22">'[8] Supers Trades'!$BU$106</definedName>
    <definedName name="SUPERS_29">'[9] Supers Trades'!$BU$106</definedName>
    <definedName name="SUPERS_3" localSheetId="21">'[9] Supers Trades'!#REF!</definedName>
    <definedName name="SUPERS_3" localSheetId="3">'[9] Supers Trades'!#REF!</definedName>
    <definedName name="SUPERS_3" localSheetId="28">'[7] Supers Trades'!#REF!</definedName>
    <definedName name="SUPERS_3" localSheetId="30">'[7] Supers Trades'!#REF!</definedName>
    <definedName name="SUPERS_3" localSheetId="22">'[8] Supers Trades'!#REF!</definedName>
    <definedName name="SUPERS_3">'[9] Supers Trades'!#REF!</definedName>
    <definedName name="SUPERS_30" localSheetId="28">'[7] Supers Trades'!$BW$106</definedName>
    <definedName name="SUPERS_30" localSheetId="30">'[7] Supers Trades'!$BW$106</definedName>
    <definedName name="SUPERS_30" localSheetId="22">'[8] Supers Trades'!$BW$106</definedName>
    <definedName name="SUPERS_30">'[9] Supers Trades'!$BW$106</definedName>
    <definedName name="SUPERS_31" localSheetId="28">'[7] Supers Trades'!$BY$106</definedName>
    <definedName name="SUPERS_31" localSheetId="30">'[7] Supers Trades'!$BY$106</definedName>
    <definedName name="SUPERS_31" localSheetId="22">'[8] Supers Trades'!$BY$106</definedName>
    <definedName name="SUPERS_31">'[9] Supers Trades'!$BY$106</definedName>
    <definedName name="SUPERS_32" localSheetId="28">'[7] Supers Trades'!$CA$106</definedName>
    <definedName name="SUPERS_32" localSheetId="30">'[7] Supers Trades'!$CA$106</definedName>
    <definedName name="SUPERS_32" localSheetId="22">'[8] Supers Trades'!$CA$106</definedName>
    <definedName name="SUPERS_32">'[9] Supers Trades'!$CA$106</definedName>
    <definedName name="SUPERS_33" localSheetId="28">'[7] Supers Trades'!$CC$106</definedName>
    <definedName name="SUPERS_33" localSheetId="30">'[7] Supers Trades'!$CC$106</definedName>
    <definedName name="SUPERS_33" localSheetId="22">'[8] Supers Trades'!$CC$106</definedName>
    <definedName name="SUPERS_33">'[9] Supers Trades'!$CC$106</definedName>
    <definedName name="SUPERS_34" localSheetId="28">'[7] Supers Trades'!$CE$106</definedName>
    <definedName name="SUPERS_34" localSheetId="30">'[7] Supers Trades'!$CE$106</definedName>
    <definedName name="SUPERS_34" localSheetId="22">'[8] Supers Trades'!$CE$106</definedName>
    <definedName name="SUPERS_34">'[9] Supers Trades'!$CE$106</definedName>
    <definedName name="SUPERS_35" localSheetId="28">'[7] Supers Trades'!$CG$106</definedName>
    <definedName name="SUPERS_35" localSheetId="30">'[7] Supers Trades'!$CG$106</definedName>
    <definedName name="SUPERS_35" localSheetId="22">'[8] Supers Trades'!$CG$106</definedName>
    <definedName name="SUPERS_35">'[9] Supers Trades'!$CG$106</definedName>
    <definedName name="SUPERS_36" localSheetId="28">'[7] Supers Trades'!$CI$106</definedName>
    <definedName name="SUPERS_36" localSheetId="30">'[7] Supers Trades'!$CI$106</definedName>
    <definedName name="SUPERS_36" localSheetId="22">'[8] Supers Trades'!$CI$106</definedName>
    <definedName name="SUPERS_36">'[9] Supers Trades'!$CI$106</definedName>
    <definedName name="SUPERS_37" localSheetId="28">'[7] Supers Trades'!$CK$106</definedName>
    <definedName name="SUPERS_37" localSheetId="30">'[7] Supers Trades'!$CK$106</definedName>
    <definedName name="SUPERS_37" localSheetId="22">'[8] Supers Trades'!$CK$106</definedName>
    <definedName name="SUPERS_37">'[9] Supers Trades'!$CK$106</definedName>
    <definedName name="SUPERS_38" localSheetId="28">'[7] Supers Trades'!$CM$106</definedName>
    <definedName name="SUPERS_38" localSheetId="30">'[7] Supers Trades'!$CM$106</definedName>
    <definedName name="SUPERS_38" localSheetId="22">'[8] Supers Trades'!$CM$106</definedName>
    <definedName name="SUPERS_38">'[9] Supers Trades'!$CM$106</definedName>
    <definedName name="SUPERS_39" localSheetId="28">'[7] Supers Trades'!$CO$106</definedName>
    <definedName name="SUPERS_39" localSheetId="30">'[7] Supers Trades'!$CO$106</definedName>
    <definedName name="SUPERS_39" localSheetId="22">'[8] Supers Trades'!$CO$106</definedName>
    <definedName name="SUPERS_39">'[9] Supers Trades'!$CO$106</definedName>
    <definedName name="SUPERS_4" localSheetId="21">'[9] Supers Trades'!#REF!</definedName>
    <definedName name="SUPERS_4" localSheetId="3">'[9] Supers Trades'!#REF!</definedName>
    <definedName name="SUPERS_4" localSheetId="28">'[7] Supers Trades'!#REF!</definedName>
    <definedName name="SUPERS_4" localSheetId="30">'[7] Supers Trades'!#REF!</definedName>
    <definedName name="SUPERS_4" localSheetId="22">'[8] Supers Trades'!#REF!</definedName>
    <definedName name="SUPERS_4">'[9] Supers Trades'!#REF!</definedName>
    <definedName name="SUPERS_40" localSheetId="28">'[7] Supers Trades'!$CQ$106</definedName>
    <definedName name="SUPERS_40" localSheetId="30">'[7] Supers Trades'!$CQ$106</definedName>
    <definedName name="SUPERS_40" localSheetId="22">'[8] Supers Trades'!$CQ$106</definedName>
    <definedName name="SUPERS_40">'[9] Supers Trades'!$CQ$106</definedName>
    <definedName name="SUPERS_41" localSheetId="28">'[7] Supers Trades'!$CS$106</definedName>
    <definedName name="SUPERS_41" localSheetId="30">'[7] Supers Trades'!$CS$106</definedName>
    <definedName name="SUPERS_41" localSheetId="22">'[8] Supers Trades'!$CS$106</definedName>
    <definedName name="SUPERS_41">'[9] Supers Trades'!$CS$106</definedName>
    <definedName name="SUPERS_42" localSheetId="28">'[7] Supers Trades'!$CU$106</definedName>
    <definedName name="SUPERS_42" localSheetId="30">'[7] Supers Trades'!$CU$106</definedName>
    <definedName name="SUPERS_42" localSheetId="22">'[8] Supers Trades'!$CU$106</definedName>
    <definedName name="SUPERS_42">'[9] Supers Trades'!$CU$106</definedName>
    <definedName name="SUPERS_43" localSheetId="28">'[7] Supers Trades'!$CW$106</definedName>
    <definedName name="SUPERS_43" localSheetId="30">'[7] Supers Trades'!$CW$106</definedName>
    <definedName name="SUPERS_43" localSheetId="22">'[8] Supers Trades'!$CW$106</definedName>
    <definedName name="SUPERS_43">'[9] Supers Trades'!$CW$106</definedName>
    <definedName name="SUPERS_44" localSheetId="28">'[7] Supers Trades'!$CY$106</definedName>
    <definedName name="SUPERS_44" localSheetId="30">'[7] Supers Trades'!$CY$106</definedName>
    <definedName name="SUPERS_44" localSheetId="22">'[8] Supers Trades'!$CY$106</definedName>
    <definedName name="SUPERS_44">'[9] Supers Trades'!$CY$106</definedName>
    <definedName name="SUPERS_45" localSheetId="28">'[7] Supers Trades'!$DA$106</definedName>
    <definedName name="SUPERS_45" localSheetId="30">'[7] Supers Trades'!$DA$106</definedName>
    <definedName name="SUPERS_45" localSheetId="22">'[8] Supers Trades'!$DA$106</definedName>
    <definedName name="SUPERS_45">'[9] Supers Trades'!$DA$106</definedName>
    <definedName name="SUPERS_46" localSheetId="28">'[7] Supers Trades'!$DC$106</definedName>
    <definedName name="SUPERS_46" localSheetId="30">'[7] Supers Trades'!$DC$106</definedName>
    <definedName name="SUPERS_46" localSheetId="22">'[8] Supers Trades'!$DC$106</definedName>
    <definedName name="SUPERS_46">'[9] Supers Trades'!$DC$106</definedName>
    <definedName name="SUPERS_47" localSheetId="28">'[7] Supers Trades'!$DE$106</definedName>
    <definedName name="SUPERS_47" localSheetId="30">'[7] Supers Trades'!$DE$106</definedName>
    <definedName name="SUPERS_47" localSheetId="22">'[8] Supers Trades'!$DE$106</definedName>
    <definedName name="SUPERS_47">'[9] Supers Trades'!$DE$106</definedName>
    <definedName name="SUPERS_48" localSheetId="28">'[7] Supers Trades'!$DG$106</definedName>
    <definedName name="SUPERS_48" localSheetId="30">'[7] Supers Trades'!$DG$106</definedName>
    <definedName name="SUPERS_48" localSheetId="22">'[8] Supers Trades'!$DG$106</definedName>
    <definedName name="SUPERS_48">'[9] Supers Trades'!$DG$106</definedName>
    <definedName name="SUPERS_49" localSheetId="28">'[7] Supers Trades'!$DI$106</definedName>
    <definedName name="SUPERS_49" localSheetId="30">'[7] Supers Trades'!$DI$106</definedName>
    <definedName name="SUPERS_49" localSheetId="22">'[8] Supers Trades'!$DI$106</definedName>
    <definedName name="SUPERS_49">'[9] Supers Trades'!$DI$106</definedName>
    <definedName name="SUPERS_5" localSheetId="21">'[9] Supers Trades'!#REF!</definedName>
    <definedName name="SUPERS_5" localSheetId="3">'[9] Supers Trades'!#REF!</definedName>
    <definedName name="SUPERS_5" localSheetId="28">'[7] Supers Trades'!#REF!</definedName>
    <definedName name="SUPERS_5" localSheetId="30">'[7] Supers Trades'!#REF!</definedName>
    <definedName name="SUPERS_5" localSheetId="22">'[8] Supers Trades'!#REF!</definedName>
    <definedName name="SUPERS_5">'[9] Supers Trades'!#REF!</definedName>
    <definedName name="SUPERS_50" localSheetId="28">'[7] Supers Trades'!$DK$106</definedName>
    <definedName name="SUPERS_50" localSheetId="30">'[7] Supers Trades'!$DK$106</definedName>
    <definedName name="SUPERS_50" localSheetId="22">'[8] Supers Trades'!$DK$106</definedName>
    <definedName name="SUPERS_50">'[9] Supers Trades'!$DK$106</definedName>
    <definedName name="SUPERS_51" localSheetId="28">'[7] Supers Trades'!$DM$106</definedName>
    <definedName name="SUPERS_51" localSheetId="30">'[7] Supers Trades'!$DM$106</definedName>
    <definedName name="SUPERS_51" localSheetId="22">'[8] Supers Trades'!$DM$106</definedName>
    <definedName name="SUPERS_51">'[9] Supers Trades'!$DM$106</definedName>
    <definedName name="SUPERS_52" localSheetId="28">'[7] Supers Trades'!$DO$106</definedName>
    <definedName name="SUPERS_52" localSheetId="30">'[7] Supers Trades'!$DO$106</definedName>
    <definedName name="SUPERS_52" localSheetId="22">'[8] Supers Trades'!$DO$106</definedName>
    <definedName name="SUPERS_52">'[9] Supers Trades'!$DO$106</definedName>
    <definedName name="SUPERS_53" localSheetId="28">'[7] Supers Trades'!$DQ$106</definedName>
    <definedName name="SUPERS_53" localSheetId="30">'[7] Supers Trades'!$DQ$106</definedName>
    <definedName name="SUPERS_53" localSheetId="22">'[8] Supers Trades'!$DQ$106</definedName>
    <definedName name="SUPERS_53">'[9] Supers Trades'!$DQ$106</definedName>
    <definedName name="SUPERS_54" localSheetId="28">'[7] Supers Trades'!$DS$106</definedName>
    <definedName name="SUPERS_54" localSheetId="30">'[7] Supers Trades'!$DS$106</definedName>
    <definedName name="SUPERS_54" localSheetId="22">'[8] Supers Trades'!$DS$106</definedName>
    <definedName name="SUPERS_54">'[9] Supers Trades'!$DS$106</definedName>
    <definedName name="SUPERS_55" localSheetId="28">'[7] Supers Trades'!$DU$106</definedName>
    <definedName name="SUPERS_55" localSheetId="30">'[7] Supers Trades'!$DU$106</definedName>
    <definedName name="SUPERS_55" localSheetId="22">'[8] Supers Trades'!$DU$106</definedName>
    <definedName name="SUPERS_55">'[9] Supers Trades'!$DU$106</definedName>
    <definedName name="SUPERS_56" localSheetId="28">'[7] Supers Trades'!$DW$106</definedName>
    <definedName name="SUPERS_56" localSheetId="30">'[7] Supers Trades'!$DW$106</definedName>
    <definedName name="SUPERS_56" localSheetId="22">'[8] Supers Trades'!$DW$106</definedName>
    <definedName name="SUPERS_56">'[9] Supers Trades'!$DW$106</definedName>
    <definedName name="SUPERS_57" localSheetId="28">'[7] Supers Trades'!$DY$106</definedName>
    <definedName name="SUPERS_57" localSheetId="30">'[7] Supers Trades'!$DY$106</definedName>
    <definedName name="SUPERS_57" localSheetId="22">'[8] Supers Trades'!$DY$106</definedName>
    <definedName name="SUPERS_57">'[9] Supers Trades'!$DY$106</definedName>
    <definedName name="SUPERS_58" localSheetId="28">'[7] Supers Trades'!$EA$106</definedName>
    <definedName name="SUPERS_58" localSheetId="30">'[7] Supers Trades'!$EA$106</definedName>
    <definedName name="SUPERS_58" localSheetId="22">'[8] Supers Trades'!$EA$106</definedName>
    <definedName name="SUPERS_58">'[9] Supers Trades'!$EA$106</definedName>
    <definedName name="SUPERS_59" localSheetId="28">'[7] Supers Trades'!$EC$106</definedName>
    <definedName name="SUPERS_59" localSheetId="30">'[7] Supers Trades'!$EC$106</definedName>
    <definedName name="SUPERS_59" localSheetId="22">'[8] Supers Trades'!$EC$106</definedName>
    <definedName name="SUPERS_59">'[9] Supers Trades'!$EC$106</definedName>
    <definedName name="SUPERS_6" localSheetId="21">'[9] Supers Trades'!#REF!</definedName>
    <definedName name="SUPERS_6" localSheetId="3">'[9] Supers Trades'!#REF!</definedName>
    <definedName name="SUPERS_6" localSheetId="28">'[7] Supers Trades'!#REF!</definedName>
    <definedName name="SUPERS_6" localSheetId="30">'[7] Supers Trades'!#REF!</definedName>
    <definedName name="SUPERS_6" localSheetId="22">'[8] Supers Trades'!#REF!</definedName>
    <definedName name="SUPERS_6">'[9] Supers Trades'!#REF!</definedName>
    <definedName name="SUPERS_60" localSheetId="28">'[7] Supers Trades'!$EE$106</definedName>
    <definedName name="SUPERS_60" localSheetId="30">'[7] Supers Trades'!$EE$106</definedName>
    <definedName name="SUPERS_60" localSheetId="22">'[8] Supers Trades'!$EE$106</definedName>
    <definedName name="SUPERS_60">'[9] Supers Trades'!$EE$106</definedName>
    <definedName name="SUPERS_61" localSheetId="28">'[7] Supers Trades'!$EG$106</definedName>
    <definedName name="SUPERS_61" localSheetId="30">'[7] Supers Trades'!$EG$106</definedName>
    <definedName name="SUPERS_61" localSheetId="22">'[8] Supers Trades'!$EG$106</definedName>
    <definedName name="SUPERS_61">'[9] Supers Trades'!$EG$106</definedName>
    <definedName name="SUPERS_62" localSheetId="28">'[7] Supers Trades'!$EI$106</definedName>
    <definedName name="SUPERS_62" localSheetId="30">'[7] Supers Trades'!$EI$106</definedName>
    <definedName name="SUPERS_62" localSheetId="22">'[8] Supers Trades'!$EI$106</definedName>
    <definedName name="SUPERS_62">'[9] Supers Trades'!$EI$106</definedName>
    <definedName name="SUPERS_63" localSheetId="28">'[7] Supers Trades'!$EK$106</definedName>
    <definedName name="SUPERS_63" localSheetId="30">'[7] Supers Trades'!$EK$106</definedName>
    <definedName name="SUPERS_63" localSheetId="22">'[8] Supers Trades'!$EK$106</definedName>
    <definedName name="SUPERS_63">'[9] Supers Trades'!$EK$106</definedName>
    <definedName name="SUPERS_64" localSheetId="28">'[7] Supers Trades'!$EM$106</definedName>
    <definedName name="SUPERS_64" localSheetId="30">'[7] Supers Trades'!$EM$106</definedName>
    <definedName name="SUPERS_64" localSheetId="22">'[8] Supers Trades'!$EM$106</definedName>
    <definedName name="SUPERS_64">'[9] Supers Trades'!$EM$106</definedName>
    <definedName name="SUPERS_65" localSheetId="28">'[7] Supers Trades'!$EO$106</definedName>
    <definedName name="SUPERS_65" localSheetId="30">'[7] Supers Trades'!$EO$106</definedName>
    <definedName name="SUPERS_65" localSheetId="22">'[8] Supers Trades'!$EO$106</definedName>
    <definedName name="SUPERS_65">'[9] Supers Trades'!$EO$106</definedName>
    <definedName name="SUPERS_66" localSheetId="28">'[7] Supers Trades'!$EQ$106</definedName>
    <definedName name="SUPERS_66" localSheetId="30">'[7] Supers Trades'!$EQ$106</definedName>
    <definedName name="SUPERS_66" localSheetId="22">'[8] Supers Trades'!$EQ$106</definedName>
    <definedName name="SUPERS_66">'[9] Supers Trades'!$EQ$106</definedName>
    <definedName name="SUPERS_67" localSheetId="28">'[7] Supers Trades'!$ES$106</definedName>
    <definedName name="SUPERS_67" localSheetId="30">'[7] Supers Trades'!$ES$106</definedName>
    <definedName name="SUPERS_67" localSheetId="22">'[8] Supers Trades'!$ES$106</definedName>
    <definedName name="SUPERS_67">'[9] Supers Trades'!$ES$106</definedName>
    <definedName name="SUPERS_68" localSheetId="28">'[7] Supers Trades'!$EU$106</definedName>
    <definedName name="SUPERS_68" localSheetId="30">'[7] Supers Trades'!$EU$106</definedName>
    <definedName name="SUPERS_68" localSheetId="22">'[8] Supers Trades'!$EU$106</definedName>
    <definedName name="SUPERS_68">'[9] Supers Trades'!$EU$106</definedName>
    <definedName name="SUPERS_69" localSheetId="28">'[7] Supers Trades'!$EW$106</definedName>
    <definedName name="SUPERS_69" localSheetId="30">'[7] Supers Trades'!$EW$106</definedName>
    <definedName name="SUPERS_69" localSheetId="22">'[8] Supers Trades'!$EW$106</definedName>
    <definedName name="SUPERS_69">'[9] Supers Trades'!$EW$106</definedName>
    <definedName name="SUPERS_7" localSheetId="21">'[9] Supers Trades'!#REF!</definedName>
    <definedName name="SUPERS_7" localSheetId="3">'[9] Supers Trades'!#REF!</definedName>
    <definedName name="SUPERS_7" localSheetId="28">'[7] Supers Trades'!#REF!</definedName>
    <definedName name="SUPERS_7" localSheetId="30">'[7] Supers Trades'!#REF!</definedName>
    <definedName name="SUPERS_7" localSheetId="22">'[8] Supers Trades'!#REF!</definedName>
    <definedName name="SUPERS_7">'[9] Supers Trades'!#REF!</definedName>
    <definedName name="SUPERS_70" localSheetId="28">'[7] Supers Trades'!$EY$106</definedName>
    <definedName name="SUPERS_70" localSheetId="30">'[7] Supers Trades'!$EY$106</definedName>
    <definedName name="SUPERS_70" localSheetId="22">'[8] Supers Trades'!$EY$106</definedName>
    <definedName name="SUPERS_70">'[9] Supers Trades'!$EY$106</definedName>
    <definedName name="SUPERS_71" localSheetId="28">'[7] Supers Trades'!$FA$106</definedName>
    <definedName name="SUPERS_71" localSheetId="30">'[7] Supers Trades'!$FA$106</definedName>
    <definedName name="SUPERS_71" localSheetId="22">'[8] Supers Trades'!$FA$106</definedName>
    <definedName name="SUPERS_71">'[9] Supers Trades'!$FA$106</definedName>
    <definedName name="SUPERS_72" localSheetId="28">'[7] Supers Trades'!$FC$106</definedName>
    <definedName name="SUPERS_72" localSheetId="30">'[7] Supers Trades'!$FC$106</definedName>
    <definedName name="SUPERS_72" localSheetId="22">'[8] Supers Trades'!$FC$106</definedName>
    <definedName name="SUPERS_72">'[9] Supers Trades'!$FC$106</definedName>
    <definedName name="SUPERS_73" localSheetId="28">'[7] Supers Trades'!$FE$106</definedName>
    <definedName name="SUPERS_73" localSheetId="30">'[7] Supers Trades'!$FE$106</definedName>
    <definedName name="SUPERS_73" localSheetId="22">'[8] Supers Trades'!$FE$106</definedName>
    <definedName name="SUPERS_73">'[9] Supers Trades'!$FE$106</definedName>
    <definedName name="SUPERS_74" localSheetId="28">'[7] Supers Trades'!$FG$106</definedName>
    <definedName name="SUPERS_74" localSheetId="30">'[7] Supers Trades'!$FG$106</definedName>
    <definedName name="SUPERS_74" localSheetId="22">'[8] Supers Trades'!$FG$106</definedName>
    <definedName name="SUPERS_74">'[9] Supers Trades'!$FG$106</definedName>
    <definedName name="SUPERS_75" localSheetId="28">'[7] Supers Trades'!$FI$106</definedName>
    <definedName name="SUPERS_75" localSheetId="30">'[7] Supers Trades'!$FI$106</definedName>
    <definedName name="SUPERS_75" localSheetId="22">'[8] Supers Trades'!$FI$106</definedName>
    <definedName name="SUPERS_75">'[9] Supers Trades'!$FI$106</definedName>
    <definedName name="SUPERS_76" localSheetId="28">'[7] Supers Trades'!$FK$106</definedName>
    <definedName name="SUPERS_76" localSheetId="30">'[7] Supers Trades'!$FK$106</definedName>
    <definedName name="SUPERS_76" localSheetId="22">'[8] Supers Trades'!$FK$106</definedName>
    <definedName name="SUPERS_76">'[9] Supers Trades'!$FK$106</definedName>
    <definedName name="SUPERS_77" localSheetId="28">'[7] Supers Trades'!$FM$106</definedName>
    <definedName name="SUPERS_77" localSheetId="30">'[7] Supers Trades'!$FM$106</definedName>
    <definedName name="SUPERS_77" localSheetId="22">'[8] Supers Trades'!$FM$106</definedName>
    <definedName name="SUPERS_77">'[9] Supers Trades'!$FM$106</definedName>
    <definedName name="SUPERS_78" localSheetId="28">'[7] Supers Trades'!$FO$106</definedName>
    <definedName name="SUPERS_78" localSheetId="30">'[7] Supers Trades'!$FO$106</definedName>
    <definedName name="SUPERS_78" localSheetId="22">'[8] Supers Trades'!$FO$106</definedName>
    <definedName name="SUPERS_78">'[9] Supers Trades'!$FO$106</definedName>
    <definedName name="SUPERS_79" localSheetId="28">'[7] Supers Trades'!$FQ$106</definedName>
    <definedName name="SUPERS_79" localSheetId="30">'[7] Supers Trades'!$FQ$106</definedName>
    <definedName name="SUPERS_79" localSheetId="22">'[8] Supers Trades'!$FQ$106</definedName>
    <definedName name="SUPERS_79">'[9] Supers Trades'!$FQ$106</definedName>
    <definedName name="SUPERS_8" localSheetId="21">'[9] Supers Trades'!#REF!</definedName>
    <definedName name="SUPERS_8" localSheetId="3">'[9] Supers Trades'!#REF!</definedName>
    <definedName name="SUPERS_8" localSheetId="28">'[7] Supers Trades'!#REF!</definedName>
    <definedName name="SUPERS_8" localSheetId="30">'[7] Supers Trades'!#REF!</definedName>
    <definedName name="SUPERS_8" localSheetId="22">'[8] Supers Trades'!#REF!</definedName>
    <definedName name="SUPERS_8">'[9] Supers Trades'!#REF!</definedName>
    <definedName name="SUPERS_80" localSheetId="28">'[7] Supers Trades'!$FS$106</definedName>
    <definedName name="SUPERS_80" localSheetId="30">'[7] Supers Trades'!$FS$106</definedName>
    <definedName name="SUPERS_80" localSheetId="22">'[8] Supers Trades'!$FS$106</definedName>
    <definedName name="SUPERS_80">'[9] Supers Trades'!$FS$106</definedName>
    <definedName name="SUPERS_81" localSheetId="28">'[7] Supers Trades'!$FU$106</definedName>
    <definedName name="SUPERS_81" localSheetId="30">'[7] Supers Trades'!$FU$106</definedName>
    <definedName name="SUPERS_81" localSheetId="22">'[8] Supers Trades'!$FU$106</definedName>
    <definedName name="SUPERS_81">'[9] Supers Trades'!$FU$106</definedName>
    <definedName name="SUPERS_82" localSheetId="28">'[7] Supers Trades'!$FW$106</definedName>
    <definedName name="SUPERS_82" localSheetId="30">'[7] Supers Trades'!$FW$106</definedName>
    <definedName name="SUPERS_82" localSheetId="22">'[8] Supers Trades'!$FW$106</definedName>
    <definedName name="SUPERS_82">'[9] Supers Trades'!$FW$106</definedName>
    <definedName name="SUPERS_83" localSheetId="28">'[7] Supers Trades'!$FY$106</definedName>
    <definedName name="SUPERS_83" localSheetId="30">'[7] Supers Trades'!$FY$106</definedName>
    <definedName name="SUPERS_83" localSheetId="22">'[8] Supers Trades'!$FY$106</definedName>
    <definedName name="SUPERS_83">'[9] Supers Trades'!$FY$106</definedName>
    <definedName name="SUPERS_84" localSheetId="28">'[7] Supers Trades'!$GA$106</definedName>
    <definedName name="SUPERS_84" localSheetId="30">'[7] Supers Trades'!$GA$106</definedName>
    <definedName name="SUPERS_84" localSheetId="22">'[8] Supers Trades'!$GA$106</definedName>
    <definedName name="SUPERS_84">'[9] Supers Trades'!$GA$106</definedName>
    <definedName name="SUPERS_85" localSheetId="28">'[7] Supers Trades'!$GC$106</definedName>
    <definedName name="SUPERS_85" localSheetId="30">'[7] Supers Trades'!$GC$106</definedName>
    <definedName name="SUPERS_85" localSheetId="22">'[8] Supers Trades'!$GC$106</definedName>
    <definedName name="SUPERS_85">'[9] Supers Trades'!$GC$106</definedName>
    <definedName name="SUPERS_86" localSheetId="28">'[7] Supers Trades'!$GE$106</definedName>
    <definedName name="SUPERS_86" localSheetId="30">'[7] Supers Trades'!$GE$106</definedName>
    <definedName name="SUPERS_86" localSheetId="22">'[8] Supers Trades'!$GE$106</definedName>
    <definedName name="SUPERS_86">'[9] Supers Trades'!$GE$106</definedName>
    <definedName name="SUPERS_87" localSheetId="28">'[7] Supers Trades'!$GG$106</definedName>
    <definedName name="SUPERS_87" localSheetId="30">'[7] Supers Trades'!$GG$106</definedName>
    <definedName name="SUPERS_87" localSheetId="22">'[8] Supers Trades'!$GG$106</definedName>
    <definedName name="SUPERS_87">'[9] Supers Trades'!$GG$106</definedName>
    <definedName name="SUPERS_88" localSheetId="28">'[7] Supers Trades'!$GI$106</definedName>
    <definedName name="SUPERS_88" localSheetId="30">'[7] Supers Trades'!$GI$106</definedName>
    <definedName name="SUPERS_88" localSheetId="22">'[8] Supers Trades'!$GI$106</definedName>
    <definedName name="SUPERS_88">'[9] Supers Trades'!$GI$106</definedName>
    <definedName name="SUPERS_89" localSheetId="28">'[7] Supers Trades'!$GK$106</definedName>
    <definedName name="SUPERS_89" localSheetId="30">'[7] Supers Trades'!$GK$106</definedName>
    <definedName name="SUPERS_89" localSheetId="22">'[8] Supers Trades'!$GK$106</definedName>
    <definedName name="SUPERS_89">'[9] Supers Trades'!$GK$106</definedName>
    <definedName name="SUPERS_9" localSheetId="21">'[9] Supers Trades'!#REF!</definedName>
    <definedName name="SUPERS_9" localSheetId="3">'[9] Supers Trades'!#REF!</definedName>
    <definedName name="SUPERS_9" localSheetId="28">'[7] Supers Trades'!#REF!</definedName>
    <definedName name="SUPERS_9" localSheetId="30">'[7] Supers Trades'!#REF!</definedName>
    <definedName name="SUPERS_9" localSheetId="22">'[8] Supers Trades'!#REF!</definedName>
    <definedName name="SUPERS_9">'[9] Supers Trades'!#REF!</definedName>
    <definedName name="SUPERS_90" localSheetId="28">'[7] Supers Trades'!$GM$106</definedName>
    <definedName name="SUPERS_90" localSheetId="30">'[7] Supers Trades'!$GM$106</definedName>
    <definedName name="SUPERS_90" localSheetId="22">'[8] Supers Trades'!$GM$106</definedName>
    <definedName name="SUPERS_90">'[9] Supers Trades'!$GM$106</definedName>
    <definedName name="SUPERS_91" localSheetId="28">'[7] Supers Trades'!$GO$106</definedName>
    <definedName name="SUPERS_91" localSheetId="30">'[7] Supers Trades'!$GO$106</definedName>
    <definedName name="SUPERS_91" localSheetId="22">'[8] Supers Trades'!$GO$106</definedName>
    <definedName name="SUPERS_91">'[9] Supers Trades'!$GO$106</definedName>
    <definedName name="SUPERS_92" localSheetId="28">'[7] Supers Trades'!$GQ$106</definedName>
    <definedName name="SUPERS_92" localSheetId="30">'[7] Supers Trades'!$GQ$106</definedName>
    <definedName name="SUPERS_92" localSheetId="22">'[8] Supers Trades'!$GQ$106</definedName>
    <definedName name="SUPERS_92">'[9] Supers Trades'!$GQ$106</definedName>
    <definedName name="SUPERS_93" localSheetId="28">'[7] Supers Trades'!$GS$106</definedName>
    <definedName name="SUPERS_93" localSheetId="30">'[7] Supers Trades'!$GS$106</definedName>
    <definedName name="SUPERS_93" localSheetId="22">'[8] Supers Trades'!$GS$106</definedName>
    <definedName name="SUPERS_93">'[9] Supers Trades'!$GS$106</definedName>
    <definedName name="SUPERS_94" localSheetId="28">'[7] Supers Trades'!$GU$106</definedName>
    <definedName name="SUPERS_94" localSheetId="30">'[7] Supers Trades'!$GU$106</definedName>
    <definedName name="SUPERS_94" localSheetId="22">'[8] Supers Trades'!$GU$106</definedName>
    <definedName name="SUPERS_94">'[9] Supers Trades'!$GU$106</definedName>
    <definedName name="SUPERS_95" localSheetId="28">'[7] Supers Trades'!$GW$106</definedName>
    <definedName name="SUPERS_95" localSheetId="30">'[7] Supers Trades'!$GW$106</definedName>
    <definedName name="SUPERS_95" localSheetId="22">'[8] Supers Trades'!$GW$106</definedName>
    <definedName name="SUPERS_95">'[9] Supers Trades'!$GW$106</definedName>
    <definedName name="SUPERS_96" localSheetId="28">'[7] Supers Trades'!$GY$106</definedName>
    <definedName name="SUPERS_96" localSheetId="30">'[7] Supers Trades'!$GY$106</definedName>
    <definedName name="SUPERS_96" localSheetId="22">'[8] Supers Trades'!$GY$106</definedName>
    <definedName name="SUPERS_96">'[9] Supers Trades'!$GY$106</definedName>
    <definedName name="SUPERS_97" localSheetId="28">'[7] Supers Trades'!$HA$106</definedName>
    <definedName name="SUPERS_97" localSheetId="30">'[7] Supers Trades'!$HA$106</definedName>
    <definedName name="SUPERS_97" localSheetId="22">'[8] Supers Trades'!$HA$106</definedName>
    <definedName name="SUPERS_97">'[9] Supers Trades'!$HA$106</definedName>
    <definedName name="SUPERS_98" localSheetId="28">'[7] Supers Trades'!$HC$106</definedName>
    <definedName name="SUPERS_98" localSheetId="30">'[7] Supers Trades'!$HC$106</definedName>
    <definedName name="SUPERS_98" localSheetId="22">'[8] Supers Trades'!$HC$106</definedName>
    <definedName name="SUPERS_98">'[9] Supers Trades'!$HC$106</definedName>
    <definedName name="SUPERS_99" localSheetId="28">'[7] Supers Trades'!$HE$106</definedName>
    <definedName name="SUPERS_99" localSheetId="30">'[7] Supers Trades'!$HE$106</definedName>
    <definedName name="SUPERS_99" localSheetId="22">'[8] Supers Trades'!$HE$106</definedName>
    <definedName name="SUPERS_99">'[9] Supers Trades'!$HE$106</definedName>
    <definedName name="SUPERS_ADJ" localSheetId="21">'[9] Supers Trades'!#REF!</definedName>
    <definedName name="SUPERS_ADJ" localSheetId="3">'[9] Supers Trades'!#REF!</definedName>
    <definedName name="SUPERS_ADJ" localSheetId="28">'[7] Supers Trades'!#REF!</definedName>
    <definedName name="SUPERS_ADJ" localSheetId="30">'[7] Supers Trades'!#REF!</definedName>
    <definedName name="SUPERS_ADJ" localSheetId="22">'[8] Supers Trades'!#REF!</definedName>
    <definedName name="SUPERS_ADJ">'[9] Supers Trades'!#REF!</definedName>
    <definedName name="SUPERS_PIVOT" localSheetId="28">'[7]PIVOT DATA'!$A$3:$B$3,'[7]PIVOT DATA'!$A$5:$C$113</definedName>
    <definedName name="SUPERS_PIVOT" localSheetId="30">'[7]PIVOT DATA'!$A$3:$B$3,'[7]PIVOT DATA'!$A$5:$C$113</definedName>
    <definedName name="SUPERS_PIVOT" localSheetId="22">'[8]PIVOT DATA'!$A$3:$B$3,'[8]PIVOT DATA'!$A$5:$C$113</definedName>
    <definedName name="SUPERS_PIVOT">'[9]PIVOT DATA'!$A$3:$B$3,'[9]PIVOT DATA'!$A$5:$C$113</definedName>
    <definedName name="SUPERSTOTAL" localSheetId="21">'[9] Supers Trades'!#REF!</definedName>
    <definedName name="SUPERSTOTAL" localSheetId="3">'[9] Supers Trades'!#REF!</definedName>
    <definedName name="SUPERSTOTAL" localSheetId="28">'[7] Supers Trades'!#REF!</definedName>
    <definedName name="SUPERSTOTAL" localSheetId="30">'[7] Supers Trades'!#REF!</definedName>
    <definedName name="SUPERSTOTAL" localSheetId="22">'[8] Supers Trades'!#REF!</definedName>
    <definedName name="SUPERSTOTAL">'[9] Supers Trades'!#REF!</definedName>
    <definedName name="SURVEY" localSheetId="15">#REF!</definedName>
    <definedName name="SURVEY" localSheetId="17">#REF!</definedName>
    <definedName name="SURVEY">#REF!</definedName>
    <definedName name="SW" localSheetId="21">#REF!</definedName>
    <definedName name="SW" localSheetId="16">#REF!</definedName>
    <definedName name="SW" localSheetId="28">#REF!</definedName>
    <definedName name="SW" localSheetId="30">#REF!</definedName>
    <definedName name="SW" localSheetId="22">#REF!</definedName>
    <definedName name="SW">#REF!</definedName>
    <definedName name="TOTALCOSTS" localSheetId="16">[14]Summary!$F$63</definedName>
    <definedName name="TOTALCOSTS" localSheetId="28">[15]Summary!$F$70</definedName>
    <definedName name="TOTALCOSTS" localSheetId="30">[15]Summary!$F$70</definedName>
    <definedName name="TOTALCOSTS" localSheetId="22">[8]Summary!$F$64</definedName>
    <definedName name="TOTALCOSTS">[13]Summary!$F$63</definedName>
    <definedName name="TOTALMARGIN">[8]Summary!$F$73</definedName>
    <definedName name="TOTALSALESVALUE" localSheetId="16">[14]Summary!$F$65</definedName>
    <definedName name="TOTALSALESVALUE" localSheetId="28">[15]Summary!$F$6</definedName>
    <definedName name="TOTALSALESVALUE" localSheetId="30">[15]Summary!$F$6</definedName>
    <definedName name="TOTALSALESVALUE" localSheetId="22">[8]Summary!$F$66</definedName>
    <definedName name="TOTALSALESVALUE">[13]Summary!$F$65</definedName>
    <definedName name="TRADROOFLAB" localSheetId="21">#REF!</definedName>
    <definedName name="TRADROOFLAB" localSheetId="16">#REF!</definedName>
    <definedName name="TRADROOFLAB" localSheetId="28">#REF!</definedName>
    <definedName name="TRADROOFLAB" localSheetId="30">#REF!</definedName>
    <definedName name="TRADROOFLAB" localSheetId="22">#REF!</definedName>
    <definedName name="TRADROOFLAB">#REF!</definedName>
    <definedName name="TYPE_1" localSheetId="21">#REF!</definedName>
    <definedName name="TYPE_1" localSheetId="16">#REF!</definedName>
    <definedName name="TYPE_1" localSheetId="30">#REF!</definedName>
    <definedName name="TYPE_1" localSheetId="22">#REF!</definedName>
    <definedName name="TYPE_1">#REF!</definedName>
    <definedName name="TYPE_10" localSheetId="21">#REF!</definedName>
    <definedName name="TYPE_10" localSheetId="16">#REF!</definedName>
    <definedName name="TYPE_10" localSheetId="30">#REF!</definedName>
    <definedName name="TYPE_10" localSheetId="22">#REF!</definedName>
    <definedName name="TYPE_10">#REF!</definedName>
    <definedName name="TYPE_100">'[8] Land'!$B$119</definedName>
    <definedName name="TYPE_11" localSheetId="21">#REF!</definedName>
    <definedName name="TYPE_11" localSheetId="16">#REF!</definedName>
    <definedName name="TYPE_11" localSheetId="30">#REF!</definedName>
    <definedName name="TYPE_11" localSheetId="22">#REF!</definedName>
    <definedName name="TYPE_11">#REF!</definedName>
    <definedName name="TYPE_12" localSheetId="21">#REF!</definedName>
    <definedName name="TYPE_12" localSheetId="16">#REF!</definedName>
    <definedName name="TYPE_12" localSheetId="30">#REF!</definedName>
    <definedName name="TYPE_12" localSheetId="22">#REF!</definedName>
    <definedName name="TYPE_12">#REF!</definedName>
    <definedName name="TYPE_13" localSheetId="21">'[13] Land'!#REF!</definedName>
    <definedName name="TYPE_13" localSheetId="16">'[14] Land'!#REF!</definedName>
    <definedName name="TYPE_13" localSheetId="28">'[15] Land'!#REF!</definedName>
    <definedName name="TYPE_13" localSheetId="30">'[15] Land'!#REF!</definedName>
    <definedName name="TYPE_13" localSheetId="22">'[8] Land'!$B$29</definedName>
    <definedName name="TYPE_13">'[13] Land'!#REF!</definedName>
    <definedName name="TYPE_14" localSheetId="21">'[13] Land'!#REF!</definedName>
    <definedName name="TYPE_14" localSheetId="16">'[14] Land'!#REF!</definedName>
    <definedName name="TYPE_14" localSheetId="28">'[15] Land'!#REF!</definedName>
    <definedName name="TYPE_14" localSheetId="30">'[15] Land'!#REF!</definedName>
    <definedName name="TYPE_14" localSheetId="22">'[8] Land'!$B$30</definedName>
    <definedName name="TYPE_14">'[13] Land'!#REF!</definedName>
    <definedName name="TYPE_15" localSheetId="21">'[13] Land'!#REF!</definedName>
    <definedName name="TYPE_15" localSheetId="16">'[14] Land'!#REF!</definedName>
    <definedName name="TYPE_15" localSheetId="28">'[15] Land'!#REF!</definedName>
    <definedName name="TYPE_15" localSheetId="30">'[15] Land'!#REF!</definedName>
    <definedName name="TYPE_15" localSheetId="22">'[8] Land'!$B$31</definedName>
    <definedName name="TYPE_15">'[13] Land'!#REF!</definedName>
    <definedName name="TYPE_16" localSheetId="21">'[13] Land'!#REF!</definedName>
    <definedName name="TYPE_16" localSheetId="16">'[14] Land'!#REF!</definedName>
    <definedName name="TYPE_16" localSheetId="28">'[15] Land'!#REF!</definedName>
    <definedName name="TYPE_16" localSheetId="30">'[15] Land'!#REF!</definedName>
    <definedName name="TYPE_16" localSheetId="22">'[8] Land'!$B$32</definedName>
    <definedName name="TYPE_16">'[13] Land'!#REF!</definedName>
    <definedName name="TYPE_17" localSheetId="21">'[13] Land'!#REF!</definedName>
    <definedName name="TYPE_17" localSheetId="16">'[14] Land'!#REF!</definedName>
    <definedName name="TYPE_17" localSheetId="28">'[15] Land'!#REF!</definedName>
    <definedName name="TYPE_17" localSheetId="30">'[15] Land'!#REF!</definedName>
    <definedName name="TYPE_17" localSheetId="22">'[8] Land'!$B$33</definedName>
    <definedName name="TYPE_17">'[13] Land'!#REF!</definedName>
    <definedName name="TYPE_18" localSheetId="21">'[13] Land'!#REF!</definedName>
    <definedName name="TYPE_18" localSheetId="16">'[14] Land'!#REF!</definedName>
    <definedName name="TYPE_18" localSheetId="28">'[15] Land'!#REF!</definedName>
    <definedName name="TYPE_18" localSheetId="30">'[15] Land'!#REF!</definedName>
    <definedName name="TYPE_18" localSheetId="22">'[8] Land'!$B$34</definedName>
    <definedName name="TYPE_18">'[13] Land'!#REF!</definedName>
    <definedName name="TYPE_19" localSheetId="21">'[13] Land'!#REF!</definedName>
    <definedName name="TYPE_19" localSheetId="16">'[14] Land'!#REF!</definedName>
    <definedName name="TYPE_19" localSheetId="28">'[15] Land'!#REF!</definedName>
    <definedName name="TYPE_19" localSheetId="30">'[15] Land'!#REF!</definedName>
    <definedName name="TYPE_19" localSheetId="22">'[8] Land'!$B$35</definedName>
    <definedName name="TYPE_19">'[13] Land'!#REF!</definedName>
    <definedName name="TYPE_2" localSheetId="21">#REF!</definedName>
    <definedName name="TYPE_2" localSheetId="16">#REF!</definedName>
    <definedName name="TYPE_2" localSheetId="28">#REF!</definedName>
    <definedName name="TYPE_2" localSheetId="30">#REF!</definedName>
    <definedName name="TYPE_2" localSheetId="22">#REF!</definedName>
    <definedName name="TYPE_2">#REF!</definedName>
    <definedName name="TYPE_20" localSheetId="21">'[13] Land'!#REF!</definedName>
    <definedName name="TYPE_20" localSheetId="16">'[14] Land'!#REF!</definedName>
    <definedName name="TYPE_20" localSheetId="28">'[15] Land'!#REF!</definedName>
    <definedName name="TYPE_20" localSheetId="30">'[15] Land'!#REF!</definedName>
    <definedName name="TYPE_20" localSheetId="22">'[8] Land'!$B$36</definedName>
    <definedName name="TYPE_20">'[13] Land'!#REF!</definedName>
    <definedName name="TYPE_21" localSheetId="21">'[13] Land'!#REF!</definedName>
    <definedName name="TYPE_21" localSheetId="16">'[14] Land'!#REF!</definedName>
    <definedName name="TYPE_21" localSheetId="28">'[15] Land'!#REF!</definedName>
    <definedName name="TYPE_21" localSheetId="30">'[15] Land'!#REF!</definedName>
    <definedName name="TYPE_21" localSheetId="22">'[8] Land'!$B$37</definedName>
    <definedName name="TYPE_21">'[13] Land'!#REF!</definedName>
    <definedName name="TYPE_22" localSheetId="21">'[13] Land'!#REF!</definedName>
    <definedName name="TYPE_22" localSheetId="16">'[14] Land'!#REF!</definedName>
    <definedName name="TYPE_22" localSheetId="28">'[15] Land'!#REF!</definedName>
    <definedName name="TYPE_22" localSheetId="30">'[15] Land'!#REF!</definedName>
    <definedName name="TYPE_22" localSheetId="22">'[8] Land'!$B$38</definedName>
    <definedName name="TYPE_22">'[13] Land'!#REF!</definedName>
    <definedName name="TYPE_23" localSheetId="21">'[13] Land'!#REF!</definedName>
    <definedName name="TYPE_23" localSheetId="16">'[14] Land'!#REF!</definedName>
    <definedName name="TYPE_23" localSheetId="28">'[15] Land'!#REF!</definedName>
    <definedName name="TYPE_23" localSheetId="30">'[15] Land'!#REF!</definedName>
    <definedName name="TYPE_23" localSheetId="22">'[8] Land'!$B$39</definedName>
    <definedName name="TYPE_23">'[13] Land'!#REF!</definedName>
    <definedName name="TYPE_24" localSheetId="21">'[13] Land'!#REF!</definedName>
    <definedName name="TYPE_24" localSheetId="16">'[14] Land'!#REF!</definedName>
    <definedName name="TYPE_24" localSheetId="28">'[15] Land'!#REF!</definedName>
    <definedName name="TYPE_24" localSheetId="30">'[15] Land'!#REF!</definedName>
    <definedName name="TYPE_24" localSheetId="22">'[8] Land'!$B$40</definedName>
    <definedName name="TYPE_24">'[13] Land'!#REF!</definedName>
    <definedName name="TYPE_25" localSheetId="21">'[13] Land'!#REF!</definedName>
    <definedName name="TYPE_25" localSheetId="16">'[14] Land'!#REF!</definedName>
    <definedName name="TYPE_25" localSheetId="28">'[15] Land'!#REF!</definedName>
    <definedName name="TYPE_25" localSheetId="30">'[15] Land'!#REF!</definedName>
    <definedName name="TYPE_25" localSheetId="22">'[8] Land'!$B$41</definedName>
    <definedName name="TYPE_25">'[13] Land'!#REF!</definedName>
    <definedName name="TYPE_26" localSheetId="21">'[13] Land'!#REF!</definedName>
    <definedName name="TYPE_26" localSheetId="16">'[14] Land'!#REF!</definedName>
    <definedName name="TYPE_26" localSheetId="28">'[15] Land'!#REF!</definedName>
    <definedName name="TYPE_26" localSheetId="30">'[15] Land'!#REF!</definedName>
    <definedName name="TYPE_26" localSheetId="22">'[8] Land'!$B$42</definedName>
    <definedName name="TYPE_26">'[13] Land'!#REF!</definedName>
    <definedName name="TYPE_27" localSheetId="21">'[13] Land'!#REF!</definedName>
    <definedName name="TYPE_27" localSheetId="16">'[14] Land'!#REF!</definedName>
    <definedName name="TYPE_27" localSheetId="28">'[15] Land'!#REF!</definedName>
    <definedName name="TYPE_27" localSheetId="30">'[15] Land'!#REF!</definedName>
    <definedName name="TYPE_27" localSheetId="22">'[8] Land'!$B$43</definedName>
    <definedName name="TYPE_27">'[13] Land'!#REF!</definedName>
    <definedName name="TYPE_28" localSheetId="21">'[13] Land'!#REF!</definedName>
    <definedName name="TYPE_28" localSheetId="16">'[14] Land'!#REF!</definedName>
    <definedName name="TYPE_28" localSheetId="28">'[15] Land'!#REF!</definedName>
    <definedName name="TYPE_28" localSheetId="30">'[15] Land'!#REF!</definedName>
    <definedName name="TYPE_28" localSheetId="22">'[8] Land'!$B$44</definedName>
    <definedName name="TYPE_28">'[13] Land'!#REF!</definedName>
    <definedName name="TYPE_29" localSheetId="21">'[13] Land'!#REF!</definedName>
    <definedName name="TYPE_29" localSheetId="16">'[14] Land'!#REF!</definedName>
    <definedName name="TYPE_29" localSheetId="28">'[15] Land'!#REF!</definedName>
    <definedName name="TYPE_29" localSheetId="30">'[15] Land'!#REF!</definedName>
    <definedName name="TYPE_29" localSheetId="22">'[8] Land'!$B$45</definedName>
    <definedName name="TYPE_29">'[13] Land'!#REF!</definedName>
    <definedName name="TYPE_3" localSheetId="21">#REF!</definedName>
    <definedName name="TYPE_3" localSheetId="16">#REF!</definedName>
    <definedName name="TYPE_3" localSheetId="28">#REF!</definedName>
    <definedName name="TYPE_3" localSheetId="30">#REF!</definedName>
    <definedName name="TYPE_3" localSheetId="22">#REF!</definedName>
    <definedName name="TYPE_3">#REF!</definedName>
    <definedName name="TYPE_30" localSheetId="21">'[13] Land'!#REF!</definedName>
    <definedName name="TYPE_30" localSheetId="16">'[14] Land'!#REF!</definedName>
    <definedName name="TYPE_30" localSheetId="28">'[15] Land'!#REF!</definedName>
    <definedName name="TYPE_30" localSheetId="30">'[15] Land'!#REF!</definedName>
    <definedName name="TYPE_30" localSheetId="22">'[8] Land'!$B$46</definedName>
    <definedName name="TYPE_30">'[13] Land'!#REF!</definedName>
    <definedName name="TYPE_31" localSheetId="21">'[13] Land'!#REF!</definedName>
    <definedName name="TYPE_31" localSheetId="16">'[14] Land'!#REF!</definedName>
    <definedName name="TYPE_31" localSheetId="28">'[15] Land'!#REF!</definedName>
    <definedName name="TYPE_31" localSheetId="30">'[15] Land'!#REF!</definedName>
    <definedName name="TYPE_31" localSheetId="22">'[8] Land'!$B$47</definedName>
    <definedName name="TYPE_31">'[13] Land'!#REF!</definedName>
    <definedName name="TYPE_32" localSheetId="21">'[13] Land'!#REF!</definedName>
    <definedName name="TYPE_32" localSheetId="16">'[14] Land'!#REF!</definedName>
    <definedName name="TYPE_32" localSheetId="28">'[15] Land'!#REF!</definedName>
    <definedName name="TYPE_32" localSheetId="30">'[15] Land'!#REF!</definedName>
    <definedName name="TYPE_32" localSheetId="22">'[8] Land'!$B$48</definedName>
    <definedName name="TYPE_32">'[13] Land'!#REF!</definedName>
    <definedName name="TYPE_33" localSheetId="21">'[13] Land'!#REF!</definedName>
    <definedName name="TYPE_33" localSheetId="16">'[14] Land'!#REF!</definedName>
    <definedName name="TYPE_33" localSheetId="28">'[15] Land'!#REF!</definedName>
    <definedName name="TYPE_33" localSheetId="30">'[15] Land'!#REF!</definedName>
    <definedName name="TYPE_33" localSheetId="22">'[8] Land'!$B$49</definedName>
    <definedName name="TYPE_33">'[13] Land'!#REF!</definedName>
    <definedName name="TYPE_34" localSheetId="21">'[13] Land'!#REF!</definedName>
    <definedName name="TYPE_34" localSheetId="16">'[14] Land'!#REF!</definedName>
    <definedName name="TYPE_34" localSheetId="28">'[15] Land'!#REF!</definedName>
    <definedName name="TYPE_34" localSheetId="30">'[15] Land'!#REF!</definedName>
    <definedName name="TYPE_34" localSheetId="22">'[8] Land'!$B$50</definedName>
    <definedName name="TYPE_34">'[13] Land'!#REF!</definedName>
    <definedName name="TYPE_35" localSheetId="21">'[13] Land'!#REF!</definedName>
    <definedName name="TYPE_35" localSheetId="16">'[14] Land'!#REF!</definedName>
    <definedName name="TYPE_35" localSheetId="28">'[15] Land'!#REF!</definedName>
    <definedName name="TYPE_35" localSheetId="30">'[15] Land'!#REF!</definedName>
    <definedName name="TYPE_35" localSheetId="22">'[8] Land'!$B$51</definedName>
    <definedName name="TYPE_35">'[13] Land'!#REF!</definedName>
    <definedName name="TYPE_36" localSheetId="21">'[13] Land'!#REF!</definedName>
    <definedName name="TYPE_36" localSheetId="16">'[14] Land'!#REF!</definedName>
    <definedName name="TYPE_36" localSheetId="28">'[15] Land'!#REF!</definedName>
    <definedName name="TYPE_36" localSheetId="30">'[15] Land'!#REF!</definedName>
    <definedName name="TYPE_36" localSheetId="22">'[8] Land'!$B$52</definedName>
    <definedName name="TYPE_36">'[13] Land'!#REF!</definedName>
    <definedName name="TYPE_37" localSheetId="21">'[13] Land'!#REF!</definedName>
    <definedName name="TYPE_37" localSheetId="16">'[14] Land'!#REF!</definedName>
    <definedName name="TYPE_37" localSheetId="28">'[15] Land'!#REF!</definedName>
    <definedName name="TYPE_37" localSheetId="30">'[15] Land'!#REF!</definedName>
    <definedName name="TYPE_37" localSheetId="22">'[8] Land'!$B$54</definedName>
    <definedName name="TYPE_37">'[13] Land'!#REF!</definedName>
    <definedName name="TYPE_38" localSheetId="21">'[13] Land'!#REF!</definedName>
    <definedName name="TYPE_38" localSheetId="16">'[14] Land'!#REF!</definedName>
    <definedName name="TYPE_38" localSheetId="28">'[15] Land'!#REF!</definedName>
    <definedName name="TYPE_38" localSheetId="30">'[15] Land'!#REF!</definedName>
    <definedName name="TYPE_38" localSheetId="22">'[8] Land'!$B$55</definedName>
    <definedName name="TYPE_38">'[13] Land'!#REF!</definedName>
    <definedName name="TYPE_39" localSheetId="21">'[13] Land'!#REF!</definedName>
    <definedName name="TYPE_39" localSheetId="16">'[14] Land'!#REF!</definedName>
    <definedName name="TYPE_39" localSheetId="28">'[15] Land'!#REF!</definedName>
    <definedName name="TYPE_39" localSheetId="30">'[15] Land'!#REF!</definedName>
    <definedName name="TYPE_39" localSheetId="22">'[8] Land'!$B$56</definedName>
    <definedName name="TYPE_39">'[13] Land'!#REF!</definedName>
    <definedName name="TYPE_4" localSheetId="21">#REF!</definedName>
    <definedName name="TYPE_4" localSheetId="16">#REF!</definedName>
    <definedName name="TYPE_4" localSheetId="28">#REF!</definedName>
    <definedName name="TYPE_4" localSheetId="30">#REF!</definedName>
    <definedName name="TYPE_4" localSheetId="22">#REF!</definedName>
    <definedName name="TYPE_4">#REF!</definedName>
    <definedName name="TYPE_40" localSheetId="21">'[13] Land'!#REF!</definedName>
    <definedName name="TYPE_40" localSheetId="16">'[14] Land'!#REF!</definedName>
    <definedName name="TYPE_40" localSheetId="28">'[15] Land'!#REF!</definedName>
    <definedName name="TYPE_40" localSheetId="30">'[15] Land'!#REF!</definedName>
    <definedName name="TYPE_40" localSheetId="22">'[8] Land'!$B$57</definedName>
    <definedName name="TYPE_40">'[13] Land'!#REF!</definedName>
    <definedName name="TYPE_41" localSheetId="21">'[13] Land'!#REF!</definedName>
    <definedName name="TYPE_41" localSheetId="16">'[14] Land'!#REF!</definedName>
    <definedName name="TYPE_41" localSheetId="28">'[15] Land'!#REF!</definedName>
    <definedName name="TYPE_41" localSheetId="30">'[15] Land'!#REF!</definedName>
    <definedName name="TYPE_41" localSheetId="22">'[8] Land'!$B$58</definedName>
    <definedName name="TYPE_41">'[13] Land'!#REF!</definedName>
    <definedName name="TYPE_42" localSheetId="21">'[13] Land'!#REF!</definedName>
    <definedName name="TYPE_42" localSheetId="16">'[14] Land'!#REF!</definedName>
    <definedName name="TYPE_42" localSheetId="28">'[15] Land'!#REF!</definedName>
    <definedName name="TYPE_42" localSheetId="30">'[15] Land'!#REF!</definedName>
    <definedName name="TYPE_42" localSheetId="22">'[8] Land'!$B$59</definedName>
    <definedName name="TYPE_42">'[13] Land'!#REF!</definedName>
    <definedName name="TYPE_43" localSheetId="21">'[13] Land'!#REF!</definedName>
    <definedName name="TYPE_43" localSheetId="16">'[14] Land'!#REF!</definedName>
    <definedName name="TYPE_43" localSheetId="28">'[15] Land'!#REF!</definedName>
    <definedName name="TYPE_43" localSheetId="30">'[15] Land'!#REF!</definedName>
    <definedName name="TYPE_43" localSheetId="22">'[8] Land'!$B$60</definedName>
    <definedName name="TYPE_43">'[13] Land'!#REF!</definedName>
    <definedName name="TYPE_44" localSheetId="21">'[13] Land'!#REF!</definedName>
    <definedName name="TYPE_44" localSheetId="16">'[14] Land'!#REF!</definedName>
    <definedName name="TYPE_44" localSheetId="28">'[15] Land'!#REF!</definedName>
    <definedName name="TYPE_44" localSheetId="30">'[15] Land'!#REF!</definedName>
    <definedName name="TYPE_44" localSheetId="22">'[8] Land'!$B$61</definedName>
    <definedName name="TYPE_44">'[13] Land'!#REF!</definedName>
    <definedName name="TYPE_45" localSheetId="21">'[13] Land'!#REF!</definedName>
    <definedName name="TYPE_45" localSheetId="16">'[14] Land'!#REF!</definedName>
    <definedName name="TYPE_45" localSheetId="28">'[15] Land'!#REF!</definedName>
    <definedName name="TYPE_45" localSheetId="30">'[15] Land'!#REF!</definedName>
    <definedName name="TYPE_45" localSheetId="22">'[8] Land'!$B$62</definedName>
    <definedName name="TYPE_45">'[13] Land'!#REF!</definedName>
    <definedName name="TYPE_46" localSheetId="21">'[13] Land'!#REF!</definedName>
    <definedName name="TYPE_46" localSheetId="16">'[14] Land'!#REF!</definedName>
    <definedName name="TYPE_46" localSheetId="28">'[15] Land'!#REF!</definedName>
    <definedName name="TYPE_46" localSheetId="30">'[15] Land'!#REF!</definedName>
    <definedName name="TYPE_46" localSheetId="22">'[8] Land'!$B$63</definedName>
    <definedName name="TYPE_46">'[13] Land'!#REF!</definedName>
    <definedName name="TYPE_47" localSheetId="21">'[13] Land'!#REF!</definedName>
    <definedName name="TYPE_47" localSheetId="16">'[14] Land'!#REF!</definedName>
    <definedName name="TYPE_47" localSheetId="28">'[15] Land'!#REF!</definedName>
    <definedName name="TYPE_47" localSheetId="30">'[15] Land'!#REF!</definedName>
    <definedName name="TYPE_47" localSheetId="22">'[8] Land'!$B$64</definedName>
    <definedName name="TYPE_47">'[13] Land'!#REF!</definedName>
    <definedName name="TYPE_48" localSheetId="21">'[13] Land'!#REF!</definedName>
    <definedName name="TYPE_48" localSheetId="16">'[14] Land'!#REF!</definedName>
    <definedName name="TYPE_48" localSheetId="28">'[15] Land'!#REF!</definedName>
    <definedName name="TYPE_48" localSheetId="30">'[15] Land'!#REF!</definedName>
    <definedName name="TYPE_48" localSheetId="22">'[8] Land'!$B$65</definedName>
    <definedName name="TYPE_48">'[13] Land'!#REF!</definedName>
    <definedName name="TYPE_49" localSheetId="21">'[13] Land'!#REF!</definedName>
    <definedName name="TYPE_49" localSheetId="16">'[14] Land'!#REF!</definedName>
    <definedName name="TYPE_49" localSheetId="28">'[15] Land'!#REF!</definedName>
    <definedName name="TYPE_49" localSheetId="30">'[15] Land'!#REF!</definedName>
    <definedName name="TYPE_49" localSheetId="22">'[8] Land'!$B$66</definedName>
    <definedName name="TYPE_49">'[13] Land'!#REF!</definedName>
    <definedName name="TYPE_5" localSheetId="21">#REF!</definedName>
    <definedName name="TYPE_5" localSheetId="16">#REF!</definedName>
    <definedName name="TYPE_5" localSheetId="28">#REF!</definedName>
    <definedName name="TYPE_5" localSheetId="30">#REF!</definedName>
    <definedName name="TYPE_5" localSheetId="22">#REF!</definedName>
    <definedName name="TYPE_5">#REF!</definedName>
    <definedName name="TYPE_50" localSheetId="21">'[13] Land'!#REF!</definedName>
    <definedName name="TYPE_50" localSheetId="16">'[14] Land'!#REF!</definedName>
    <definedName name="TYPE_50" localSheetId="28">'[15] Land'!#REF!</definedName>
    <definedName name="TYPE_50" localSheetId="30">'[15] Land'!#REF!</definedName>
    <definedName name="TYPE_50" localSheetId="22">'[8] Land'!$B$67</definedName>
    <definedName name="TYPE_50">'[13] Land'!#REF!</definedName>
    <definedName name="TYPE_51" localSheetId="21">'[13] Land'!#REF!</definedName>
    <definedName name="TYPE_51" localSheetId="16">'[14] Land'!#REF!</definedName>
    <definedName name="TYPE_51" localSheetId="28">'[15] Land'!#REF!</definedName>
    <definedName name="TYPE_51" localSheetId="30">'[15] Land'!#REF!</definedName>
    <definedName name="TYPE_51" localSheetId="22">'[8] Land'!$B$68</definedName>
    <definedName name="TYPE_51">'[13] Land'!#REF!</definedName>
    <definedName name="TYPE_52" localSheetId="21">'[13] Land'!#REF!</definedName>
    <definedName name="TYPE_52" localSheetId="16">'[14] Land'!#REF!</definedName>
    <definedName name="TYPE_52" localSheetId="28">'[15] Land'!#REF!</definedName>
    <definedName name="TYPE_52" localSheetId="30">'[15] Land'!#REF!</definedName>
    <definedName name="TYPE_52" localSheetId="22">'[8] Land'!$B$69</definedName>
    <definedName name="TYPE_52">'[13] Land'!#REF!</definedName>
    <definedName name="TYPE_53">'[8] Land'!$B$71</definedName>
    <definedName name="TYPE_54" localSheetId="30">'[15] Land'!#REF!</definedName>
    <definedName name="TYPE_54" localSheetId="22">'[8] Land'!$B$72</definedName>
    <definedName name="TYPE_54">'[15] Land'!#REF!</definedName>
    <definedName name="TYPE_55" localSheetId="22">'[8] Land'!$B$73</definedName>
    <definedName name="TYPE_55">'[21] Land Analysis'!#REF!</definedName>
    <definedName name="TYPE_56" localSheetId="28">'[15] Land'!#REF!</definedName>
    <definedName name="TYPE_56" localSheetId="30">'[15] Land'!#REF!</definedName>
    <definedName name="TYPE_56" localSheetId="22">'[8] Land'!$B$74</definedName>
    <definedName name="TYPE_56">'[21] Land Analysis'!#REF!</definedName>
    <definedName name="TYPE_57" localSheetId="28">'[15] Land'!#REF!</definedName>
    <definedName name="TYPE_57" localSheetId="30">'[15] Land'!#REF!</definedName>
    <definedName name="TYPE_57" localSheetId="22">'[8] Land'!$B$75</definedName>
    <definedName name="TYPE_57">'[21] Land Analysis'!#REF!</definedName>
    <definedName name="TYPE_58" localSheetId="28">'[15] Land'!#REF!</definedName>
    <definedName name="TYPE_58" localSheetId="30">'[15] Land'!#REF!</definedName>
    <definedName name="TYPE_58" localSheetId="22">'[8] Land'!$B$76</definedName>
    <definedName name="TYPE_58">'[21] Land Analysis'!#REF!</definedName>
    <definedName name="TYPE_59" localSheetId="28">'[15] Land'!#REF!</definedName>
    <definedName name="TYPE_59" localSheetId="30">'[15] Land'!#REF!</definedName>
    <definedName name="TYPE_59" localSheetId="22">'[8] Land'!$B$77</definedName>
    <definedName name="TYPE_59">'[21] Land Analysis'!#REF!</definedName>
    <definedName name="TYPE_6" localSheetId="21">#REF!</definedName>
    <definedName name="TYPE_6" localSheetId="16">#REF!</definedName>
    <definedName name="TYPE_6" localSheetId="28">#REF!</definedName>
    <definedName name="TYPE_6" localSheetId="30">#REF!</definedName>
    <definedName name="TYPE_6" localSheetId="22">#REF!</definedName>
    <definedName name="TYPE_6">#REF!</definedName>
    <definedName name="TYPE_60" localSheetId="28">'[15] Land'!#REF!</definedName>
    <definedName name="TYPE_60" localSheetId="30">'[15] Land'!#REF!</definedName>
    <definedName name="TYPE_60" localSheetId="22">'[8] Land'!$B$78</definedName>
    <definedName name="TYPE_60">'[21] Land Analysis'!#REF!</definedName>
    <definedName name="TYPE_61" localSheetId="21">'[13] Land'!#REF!</definedName>
    <definedName name="TYPE_61" localSheetId="16">'[14] Land'!#REF!</definedName>
    <definedName name="TYPE_61" localSheetId="28">'[15] Land'!#REF!</definedName>
    <definedName name="TYPE_61" localSheetId="30">'[15] Land'!#REF!</definedName>
    <definedName name="TYPE_61" localSheetId="22">'[8] Land'!$B$79</definedName>
    <definedName name="TYPE_61">'[13] Land'!#REF!</definedName>
    <definedName name="TYPE_62" localSheetId="28">'[15] Land'!#REF!</definedName>
    <definedName name="TYPE_62" localSheetId="30">'[15] Land'!#REF!</definedName>
    <definedName name="TYPE_62" localSheetId="22">'[8] Land'!$B$80</definedName>
    <definedName name="TYPE_62">'[21] Land Analysis'!#REF!</definedName>
    <definedName name="TYPE_63" localSheetId="28">'[15] Land'!#REF!</definedName>
    <definedName name="TYPE_63" localSheetId="30">'[15] Land'!#REF!</definedName>
    <definedName name="TYPE_63" localSheetId="22">'[8] Land'!$B$81</definedName>
    <definedName name="TYPE_63">'[21] Land Analysis'!#REF!</definedName>
    <definedName name="TYPE_64" localSheetId="21">'[13] Land'!#REF!</definedName>
    <definedName name="TYPE_64" localSheetId="16">'[14] Land'!#REF!</definedName>
    <definedName name="TYPE_64" localSheetId="28">'[15] Land'!#REF!</definedName>
    <definedName name="TYPE_64" localSheetId="30">'[15] Land'!#REF!</definedName>
    <definedName name="TYPE_64" localSheetId="22">'[8] Land'!$B$82</definedName>
    <definedName name="TYPE_64">'[13] Land'!#REF!</definedName>
    <definedName name="TYPE_65" localSheetId="21">'[13] Land'!#REF!</definedName>
    <definedName name="TYPE_65" localSheetId="16">'[14] Land'!#REF!</definedName>
    <definedName name="TYPE_65" localSheetId="28">'[15] Land'!#REF!</definedName>
    <definedName name="TYPE_65" localSheetId="30">'[15] Land'!#REF!</definedName>
    <definedName name="TYPE_65" localSheetId="22">'[8] Land'!$B$83</definedName>
    <definedName name="TYPE_65">'[13] Land'!#REF!</definedName>
    <definedName name="TYPE_66" localSheetId="21">'[13] Land'!#REF!</definedName>
    <definedName name="TYPE_66" localSheetId="16">'[14] Land'!#REF!</definedName>
    <definedName name="TYPE_66" localSheetId="28">'[15] Land'!#REF!</definedName>
    <definedName name="TYPE_66" localSheetId="30">'[15] Land'!#REF!</definedName>
    <definedName name="TYPE_66" localSheetId="22">'[8] Land'!$B$84</definedName>
    <definedName name="TYPE_66">'[13] Land'!#REF!</definedName>
    <definedName name="TYPE_67" localSheetId="21">'[13] Land'!#REF!</definedName>
    <definedName name="TYPE_67" localSheetId="16">'[14] Land'!#REF!</definedName>
    <definedName name="TYPE_67" localSheetId="28">'[15] Land'!#REF!</definedName>
    <definedName name="TYPE_67" localSheetId="30">'[15] Land'!#REF!</definedName>
    <definedName name="TYPE_67" localSheetId="22">'[8] Land'!$B$85</definedName>
    <definedName name="TYPE_67">'[13] Land'!#REF!</definedName>
    <definedName name="TYPE_68" localSheetId="21">'[13] Land'!#REF!</definedName>
    <definedName name="TYPE_68" localSheetId="16">'[14] Land'!#REF!</definedName>
    <definedName name="TYPE_68" localSheetId="28">'[15] Land'!#REF!</definedName>
    <definedName name="TYPE_68" localSheetId="30">'[15] Land'!#REF!</definedName>
    <definedName name="TYPE_68" localSheetId="22">'[8] Land'!$B$86</definedName>
    <definedName name="TYPE_68">'[13] Land'!#REF!</definedName>
    <definedName name="TYPE_69" localSheetId="21">'[13] Land'!#REF!</definedName>
    <definedName name="TYPE_69" localSheetId="16">'[14] Land'!#REF!</definedName>
    <definedName name="TYPE_69" localSheetId="28">'[15] Land'!#REF!</definedName>
    <definedName name="TYPE_69" localSheetId="30">'[15] Land'!#REF!</definedName>
    <definedName name="TYPE_69" localSheetId="22">'[8] Land'!$B$87</definedName>
    <definedName name="TYPE_69">'[13] Land'!#REF!</definedName>
    <definedName name="TYPE_7" localSheetId="21">#REF!</definedName>
    <definedName name="TYPE_7" localSheetId="16">#REF!</definedName>
    <definedName name="TYPE_7" localSheetId="28">#REF!</definedName>
    <definedName name="TYPE_7" localSheetId="30">#REF!</definedName>
    <definedName name="TYPE_7" localSheetId="22">#REF!</definedName>
    <definedName name="TYPE_7">#REF!</definedName>
    <definedName name="TYPE_70" localSheetId="21">'[13] Land'!#REF!</definedName>
    <definedName name="TYPE_70" localSheetId="16">'[14] Land'!#REF!</definedName>
    <definedName name="TYPE_70" localSheetId="28">'[15] Land'!#REF!</definedName>
    <definedName name="TYPE_70" localSheetId="30">'[15] Land'!#REF!</definedName>
    <definedName name="TYPE_70" localSheetId="22">'[8] Land'!$B$88</definedName>
    <definedName name="TYPE_70">'[13] Land'!#REF!</definedName>
    <definedName name="TYPE_71" localSheetId="21">'[13] Land'!#REF!</definedName>
    <definedName name="TYPE_71" localSheetId="16">'[14] Land'!#REF!</definedName>
    <definedName name="TYPE_71" localSheetId="28">'[15] Land'!#REF!</definedName>
    <definedName name="TYPE_71" localSheetId="30">'[15] Land'!#REF!</definedName>
    <definedName name="TYPE_71" localSheetId="22">'[8] Land'!$B$89</definedName>
    <definedName name="TYPE_71">'[13] Land'!#REF!</definedName>
    <definedName name="TYPE_72" localSheetId="21">'[13] Land'!#REF!</definedName>
    <definedName name="TYPE_72" localSheetId="16">'[14] Land'!#REF!</definedName>
    <definedName name="TYPE_72" localSheetId="28">'[15] Land'!#REF!</definedName>
    <definedName name="TYPE_72" localSheetId="30">'[15] Land'!#REF!</definedName>
    <definedName name="TYPE_72" localSheetId="22">'[8] Land'!$B$90</definedName>
    <definedName name="TYPE_72">'[13] Land'!#REF!</definedName>
    <definedName name="TYPE_73" localSheetId="21">'[13] Land'!#REF!</definedName>
    <definedName name="TYPE_73" localSheetId="16">'[14] Land'!#REF!</definedName>
    <definedName name="TYPE_73" localSheetId="28">'[15] Land'!#REF!</definedName>
    <definedName name="TYPE_73" localSheetId="30">'[15] Land'!#REF!</definedName>
    <definedName name="TYPE_73" localSheetId="22">'[8] Land'!$B$91</definedName>
    <definedName name="TYPE_73">'[13] Land'!#REF!</definedName>
    <definedName name="TYPE_74" localSheetId="21">'[13] Land'!#REF!</definedName>
    <definedName name="TYPE_74" localSheetId="16">'[14] Land'!#REF!</definedName>
    <definedName name="TYPE_74" localSheetId="28">'[15] Land'!#REF!</definedName>
    <definedName name="TYPE_74" localSheetId="30">'[15] Land'!#REF!</definedName>
    <definedName name="TYPE_74" localSheetId="22">'[8] Land'!$B$92</definedName>
    <definedName name="TYPE_74">'[13] Land'!#REF!</definedName>
    <definedName name="TYPE_75" localSheetId="21">'[13] Land'!#REF!</definedName>
    <definedName name="TYPE_75" localSheetId="16">'[14] Land'!#REF!</definedName>
    <definedName name="TYPE_75" localSheetId="28">'[15] Land'!#REF!</definedName>
    <definedName name="TYPE_75" localSheetId="30">'[15] Land'!#REF!</definedName>
    <definedName name="TYPE_75" localSheetId="22">'[8] Land'!$B$93</definedName>
    <definedName name="TYPE_75">'[13] Land'!#REF!</definedName>
    <definedName name="TYPE_76" localSheetId="21">'[13] Land'!#REF!</definedName>
    <definedName name="TYPE_76" localSheetId="16">'[14] Land'!#REF!</definedName>
    <definedName name="TYPE_76" localSheetId="28">'[15] Land'!#REF!</definedName>
    <definedName name="TYPE_76" localSheetId="30">'[15] Land'!#REF!</definedName>
    <definedName name="TYPE_76" localSheetId="22">'[8] Land'!$B$94</definedName>
    <definedName name="TYPE_76">'[13] Land'!#REF!</definedName>
    <definedName name="TYPE_77" localSheetId="21">'[13] Land'!#REF!</definedName>
    <definedName name="TYPE_77" localSheetId="16">'[14] Land'!#REF!</definedName>
    <definedName name="TYPE_77" localSheetId="28">'[15] Land'!#REF!</definedName>
    <definedName name="TYPE_77" localSheetId="30">'[15] Land'!#REF!</definedName>
    <definedName name="TYPE_77" localSheetId="22">'[8] Land'!$B$95</definedName>
    <definedName name="TYPE_77">'[13] Land'!#REF!</definedName>
    <definedName name="TYPE_78" localSheetId="21">'[13] Land'!#REF!</definedName>
    <definedName name="TYPE_78" localSheetId="16">'[14] Land'!#REF!</definedName>
    <definedName name="TYPE_78" localSheetId="28">'[15] Land'!#REF!</definedName>
    <definedName name="TYPE_78" localSheetId="30">'[15] Land'!#REF!</definedName>
    <definedName name="TYPE_78" localSheetId="22">'[8] Land'!$B$96</definedName>
    <definedName name="TYPE_78">'[13] Land'!#REF!</definedName>
    <definedName name="TYPE_79" localSheetId="21">'[13] Land'!#REF!</definedName>
    <definedName name="TYPE_79" localSheetId="16">'[14] Land'!#REF!</definedName>
    <definedName name="TYPE_79" localSheetId="28">'[15] Land'!#REF!</definedName>
    <definedName name="TYPE_79" localSheetId="30">'[15] Land'!#REF!</definedName>
    <definedName name="TYPE_79" localSheetId="22">'[8] Land'!$B$97</definedName>
    <definedName name="TYPE_79">'[13] Land'!#REF!</definedName>
    <definedName name="TYPE_8" localSheetId="21">#REF!</definedName>
    <definedName name="TYPE_8" localSheetId="16">#REF!</definedName>
    <definedName name="TYPE_8" localSheetId="28">#REF!</definedName>
    <definedName name="TYPE_8" localSheetId="30">#REF!</definedName>
    <definedName name="TYPE_8" localSheetId="22">#REF!</definedName>
    <definedName name="TYPE_8">#REF!</definedName>
    <definedName name="TYPE_80" localSheetId="21">'[13] Land'!#REF!</definedName>
    <definedName name="TYPE_80" localSheetId="16">'[14] Land'!#REF!</definedName>
    <definedName name="TYPE_80" localSheetId="28">'[15] Land'!#REF!</definedName>
    <definedName name="TYPE_80" localSheetId="30">'[15] Land'!#REF!</definedName>
    <definedName name="TYPE_80" localSheetId="22">'[8] Land'!$B$98</definedName>
    <definedName name="TYPE_80">'[13] Land'!#REF!</definedName>
    <definedName name="TYPE_81" localSheetId="21">'[13] Land'!#REF!</definedName>
    <definedName name="TYPE_81" localSheetId="16">'[14] Land'!#REF!</definedName>
    <definedName name="TYPE_81" localSheetId="28">'[15] Land'!#REF!</definedName>
    <definedName name="TYPE_81" localSheetId="30">'[15] Land'!#REF!</definedName>
    <definedName name="TYPE_81" localSheetId="22">'[8] Land'!$B$100</definedName>
    <definedName name="TYPE_81">'[13] Land'!#REF!</definedName>
    <definedName name="TYPE_82" localSheetId="21">'[13] Land'!#REF!</definedName>
    <definedName name="TYPE_82" localSheetId="16">'[14] Land'!#REF!</definedName>
    <definedName name="TYPE_82" localSheetId="28">'[15] Land'!#REF!</definedName>
    <definedName name="TYPE_82" localSheetId="30">'[15] Land'!#REF!</definedName>
    <definedName name="TYPE_82" localSheetId="22">'[8] Land'!$B$101</definedName>
    <definedName name="TYPE_82">'[13] Land'!#REF!</definedName>
    <definedName name="TYPE_83" localSheetId="21">'[13] Land'!#REF!</definedName>
    <definedName name="TYPE_83" localSheetId="16">'[14] Land'!#REF!</definedName>
    <definedName name="TYPE_83" localSheetId="28">'[15] Land'!#REF!</definedName>
    <definedName name="TYPE_83" localSheetId="30">'[15] Land'!#REF!</definedName>
    <definedName name="TYPE_83" localSheetId="22">'[8] Land'!$B$102</definedName>
    <definedName name="TYPE_83">'[13] Land'!#REF!</definedName>
    <definedName name="TYPE_84" localSheetId="21">'[13] Land'!#REF!</definedName>
    <definedName name="TYPE_84" localSheetId="16">'[14] Land'!#REF!</definedName>
    <definedName name="TYPE_84" localSheetId="28">'[15] Land'!#REF!</definedName>
    <definedName name="TYPE_84" localSheetId="30">'[15] Land'!#REF!</definedName>
    <definedName name="TYPE_84" localSheetId="22">'[8] Land'!$B$103</definedName>
    <definedName name="TYPE_84">'[13] Land'!#REF!</definedName>
    <definedName name="TYPE_85" localSheetId="21">'[13] Land'!#REF!</definedName>
    <definedName name="TYPE_85" localSheetId="16">'[14] Land'!#REF!</definedName>
    <definedName name="TYPE_85" localSheetId="28">'[15] Land'!#REF!</definedName>
    <definedName name="TYPE_85" localSheetId="30">'[15] Land'!#REF!</definedName>
    <definedName name="TYPE_85" localSheetId="22">'[8] Land'!$B$104</definedName>
    <definedName name="TYPE_85">'[13] Land'!#REF!</definedName>
    <definedName name="TYPE_86" localSheetId="21">'[13] Land'!#REF!</definedName>
    <definedName name="TYPE_86" localSheetId="16">'[14] Land'!#REF!</definedName>
    <definedName name="TYPE_86" localSheetId="28">'[15] Land'!#REF!</definedName>
    <definedName name="TYPE_86" localSheetId="30">'[15] Land'!#REF!</definedName>
    <definedName name="TYPE_86" localSheetId="22">'[8] Land'!$B$105</definedName>
    <definedName name="TYPE_86">'[13] Land'!#REF!</definedName>
    <definedName name="TYPE_87" localSheetId="21">'[13] Land'!#REF!</definedName>
    <definedName name="TYPE_87" localSheetId="16">'[14] Land'!#REF!</definedName>
    <definedName name="TYPE_87" localSheetId="28">'[15] Land'!#REF!</definedName>
    <definedName name="TYPE_87" localSheetId="30">'[15] Land'!#REF!</definedName>
    <definedName name="TYPE_87" localSheetId="22">'[8] Land'!$B$106</definedName>
    <definedName name="TYPE_87">'[13] Land'!#REF!</definedName>
    <definedName name="TYPE_88" localSheetId="21">'[13] Land'!#REF!</definedName>
    <definedName name="TYPE_88" localSheetId="16">'[14] Land'!#REF!</definedName>
    <definedName name="TYPE_88" localSheetId="28">'[15] Land'!#REF!</definedName>
    <definedName name="TYPE_88" localSheetId="30">'[15] Land'!#REF!</definedName>
    <definedName name="TYPE_88" localSheetId="22">'[8] Land'!$B$107</definedName>
    <definedName name="TYPE_88">'[13] Land'!#REF!</definedName>
    <definedName name="TYPE_89" localSheetId="21">'[13] Land'!#REF!</definedName>
    <definedName name="TYPE_89" localSheetId="16">'[14] Land'!#REF!</definedName>
    <definedName name="TYPE_89" localSheetId="28">'[15] Land'!#REF!</definedName>
    <definedName name="TYPE_89" localSheetId="30">'[15] Land'!#REF!</definedName>
    <definedName name="TYPE_89" localSheetId="22">'[8] Land'!$B$108</definedName>
    <definedName name="TYPE_89">'[13] Land'!#REF!</definedName>
    <definedName name="TYPE_9" localSheetId="21">#REF!</definedName>
    <definedName name="TYPE_9" localSheetId="16">#REF!</definedName>
    <definedName name="TYPE_9" localSheetId="28">#REF!</definedName>
    <definedName name="TYPE_9" localSheetId="30">#REF!</definedName>
    <definedName name="TYPE_9" localSheetId="22">#REF!</definedName>
    <definedName name="TYPE_9">#REF!</definedName>
    <definedName name="TYPE_90" localSheetId="21">'[13] Land'!#REF!</definedName>
    <definedName name="TYPE_90" localSheetId="16">'[14] Land'!#REF!</definedName>
    <definedName name="TYPE_90" localSheetId="28">'[15] Land'!#REF!</definedName>
    <definedName name="TYPE_90" localSheetId="30">'[15] Land'!#REF!</definedName>
    <definedName name="TYPE_90" localSheetId="22">'[8] Land'!$B$109</definedName>
    <definedName name="TYPE_90">'[13] Land'!#REF!</definedName>
    <definedName name="TYPE_91" localSheetId="21">'[13] Land'!#REF!</definedName>
    <definedName name="TYPE_91" localSheetId="16">'[14] Land'!#REF!</definedName>
    <definedName name="TYPE_91" localSheetId="28">'[15] Land'!#REF!</definedName>
    <definedName name="TYPE_91" localSheetId="30">'[15] Land'!#REF!</definedName>
    <definedName name="TYPE_91" localSheetId="22">'[8] Land'!$B$110</definedName>
    <definedName name="TYPE_91">'[13] Land'!#REF!</definedName>
    <definedName name="TYPE_92" localSheetId="21">'[13] Land'!#REF!</definedName>
    <definedName name="TYPE_92" localSheetId="16">'[14] Land'!#REF!</definedName>
    <definedName name="TYPE_92" localSheetId="28">'[15] Land'!#REF!</definedName>
    <definedName name="TYPE_92" localSheetId="30">'[15] Land'!#REF!</definedName>
    <definedName name="TYPE_92" localSheetId="22">'[8] Land'!$B$111</definedName>
    <definedName name="TYPE_92">'[13] Land'!#REF!</definedName>
    <definedName name="TYPE_93" localSheetId="21">'[13] Land'!#REF!</definedName>
    <definedName name="TYPE_93" localSheetId="16">'[14] Land'!#REF!</definedName>
    <definedName name="TYPE_93" localSheetId="28">'[15] Land'!#REF!</definedName>
    <definedName name="TYPE_93" localSheetId="30">'[15] Land'!#REF!</definedName>
    <definedName name="TYPE_93" localSheetId="22">'[8] Land'!$B$112</definedName>
    <definedName name="TYPE_93">'[13] Land'!#REF!</definedName>
    <definedName name="TYPE_94" localSheetId="21">'[13] Land'!#REF!</definedName>
    <definedName name="TYPE_94" localSheetId="16">'[14] Land'!#REF!</definedName>
    <definedName name="TYPE_94" localSheetId="28">'[15] Land'!#REF!</definedName>
    <definedName name="TYPE_94" localSheetId="30">'[15] Land'!#REF!</definedName>
    <definedName name="TYPE_94" localSheetId="22">'[8] Land'!$B$113</definedName>
    <definedName name="TYPE_94">'[13] Land'!#REF!</definedName>
    <definedName name="TYPE_95" localSheetId="21">'[13] Land'!#REF!</definedName>
    <definedName name="TYPE_95" localSheetId="16">'[14] Land'!#REF!</definedName>
    <definedName name="TYPE_95" localSheetId="28">'[15] Land'!#REF!</definedName>
    <definedName name="TYPE_95" localSheetId="30">'[15] Land'!#REF!</definedName>
    <definedName name="TYPE_95" localSheetId="22">'[8] Land'!$B$114</definedName>
    <definedName name="TYPE_95">'[13] Land'!#REF!</definedName>
    <definedName name="TYPE_96" localSheetId="21">'[13] Land'!#REF!</definedName>
    <definedName name="TYPE_96" localSheetId="16">'[14] Land'!#REF!</definedName>
    <definedName name="TYPE_96" localSheetId="28">'[15] Land'!#REF!</definedName>
    <definedName name="TYPE_96" localSheetId="30">'[15] Land'!#REF!</definedName>
    <definedName name="TYPE_96" localSheetId="22">'[8] Land'!$B$115</definedName>
    <definedName name="TYPE_96">'[13] Land'!#REF!</definedName>
    <definedName name="TYPE_97" localSheetId="21">'[13] Land'!#REF!</definedName>
    <definedName name="TYPE_97" localSheetId="16">'[14] Land'!#REF!</definedName>
    <definedName name="TYPE_97" localSheetId="28">'[15] Land'!#REF!</definedName>
    <definedName name="TYPE_97" localSheetId="30">'[15] Land'!#REF!</definedName>
    <definedName name="TYPE_97" localSheetId="22">'[8] Land'!$B$116</definedName>
    <definedName name="TYPE_97">'[13] Land'!#REF!</definedName>
    <definedName name="TYPE_98" localSheetId="21">'[13] Land'!#REF!</definedName>
    <definedName name="TYPE_98" localSheetId="16">'[14] Land'!#REF!</definedName>
    <definedName name="TYPE_98" localSheetId="28">'[15] Land'!#REF!</definedName>
    <definedName name="TYPE_98" localSheetId="30">'[15] Land'!#REF!</definedName>
    <definedName name="TYPE_98" localSheetId="22">'[8] Land'!$B$117</definedName>
    <definedName name="TYPE_98">'[13] Land'!#REF!</definedName>
    <definedName name="TYPE_99" localSheetId="21">'[13] Land'!#REF!</definedName>
    <definedName name="TYPE_99" localSheetId="16">'[14] Land'!#REF!</definedName>
    <definedName name="TYPE_99" localSheetId="28">'[15] Land'!#REF!</definedName>
    <definedName name="TYPE_99" localSheetId="30">'[15] Land'!#REF!</definedName>
    <definedName name="TYPE_99" localSheetId="22">'[8] Land'!$B$118</definedName>
    <definedName name="TYPE_99">'[13] Land'!#REF!</definedName>
    <definedName name="unitstotal" localSheetId="28">[15]Summary!#REF!</definedName>
    <definedName name="unitstotal" localSheetId="30">[15]Summary!#REF!</definedName>
    <definedName name="unitstotal" localSheetId="22">[8]Summary!$C$13</definedName>
    <definedName name="unitstotal">[21]Summary!#REF!</definedName>
    <definedName name="UR_BS_1_3" localSheetId="21">#REF!,#REF!,#REF!</definedName>
    <definedName name="UR_BS_1_3" localSheetId="16">#REF!,#REF!,#REF!</definedName>
    <definedName name="UR_BS_1_3" localSheetId="28">#REF!,#REF!,#REF!</definedName>
    <definedName name="UR_BS_1_3" localSheetId="30">#REF!,#REF!,#REF!</definedName>
    <definedName name="UR_BS_1_3" localSheetId="22">#REF!,#REF!,#REF!</definedName>
    <definedName name="UR_BS_1_3">#REF!,#REF!,#REF!</definedName>
    <definedName name="UR_BS_FIRST_4" localSheetId="21">#REF!,#REF!,#REF!,#REF!</definedName>
    <definedName name="UR_BS_FIRST_4" localSheetId="16">#REF!,#REF!,#REF!,#REF!</definedName>
    <definedName name="UR_BS_FIRST_4" localSheetId="28">#REF!,#REF!,#REF!,#REF!</definedName>
    <definedName name="UR_BS_FIRST_4" localSheetId="30">#REF!,#REF!,#REF!,#REF!</definedName>
    <definedName name="UR_BS_FIRST_4" localSheetId="22">#REF!,#REF!,#REF!,#REF!</definedName>
    <definedName name="UR_BS_FIRST_4">#REF!,#REF!,#REF!,#REF!</definedName>
    <definedName name="URBS_1" localSheetId="21">#REF!</definedName>
    <definedName name="URBS_1" localSheetId="16">#REF!</definedName>
    <definedName name="URBS_1" localSheetId="28">#REF!</definedName>
    <definedName name="URBS_1" localSheetId="30">#REF!</definedName>
    <definedName name="URBS_1" localSheetId="22">#REF!</definedName>
    <definedName name="URBS_1">#REF!</definedName>
    <definedName name="URBS_2" localSheetId="21">#REF!</definedName>
    <definedName name="URBS_2" localSheetId="16">#REF!</definedName>
    <definedName name="URBS_2" localSheetId="30">#REF!</definedName>
    <definedName name="URBS_2" localSheetId="22">#REF!</definedName>
    <definedName name="URBS_2">#REF!</definedName>
    <definedName name="URBS_3" localSheetId="21">#REF!</definedName>
    <definedName name="URBS_3" localSheetId="16">#REF!</definedName>
    <definedName name="URBS_3" localSheetId="30">#REF!</definedName>
    <definedName name="URBS_3" localSheetId="22">#REF!</definedName>
    <definedName name="URBS_3">#REF!</definedName>
    <definedName name="URBS_4" localSheetId="21">#REF!</definedName>
    <definedName name="URBS_4" localSheetId="16">#REF!</definedName>
    <definedName name="URBS_4" localSheetId="30">#REF!</definedName>
    <definedName name="URBS_4">#REF!</definedName>
    <definedName name="URBS_5" localSheetId="21">#REF!</definedName>
    <definedName name="URBS_5" localSheetId="16">#REF!</definedName>
    <definedName name="URBS_5" localSheetId="30">#REF!</definedName>
    <definedName name="URBS_5">#REF!</definedName>
    <definedName name="wr">'[22]700 Selling Expenses'!$M$69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0" i="10" l="1"/>
  <c r="I21" i="79"/>
  <c r="I22" i="79"/>
  <c r="I72" i="79"/>
  <c r="I9" i="79"/>
  <c r="I10" i="79"/>
  <c r="I11" i="79"/>
  <c r="I23" i="79"/>
  <c r="I24" i="79"/>
  <c r="I25" i="79"/>
  <c r="I26" i="79"/>
  <c r="I27" i="79"/>
  <c r="I28" i="79"/>
  <c r="I99" i="79"/>
  <c r="I100" i="79"/>
  <c r="I29" i="79"/>
  <c r="I30" i="79"/>
  <c r="I31" i="79"/>
  <c r="I107" i="79"/>
  <c r="I32" i="79"/>
  <c r="I33" i="79"/>
  <c r="I108" i="79"/>
  <c r="I34" i="79"/>
  <c r="I35" i="79"/>
  <c r="I114" i="79"/>
  <c r="I116" i="79"/>
  <c r="I36" i="79"/>
  <c r="I37" i="79"/>
  <c r="I38" i="79"/>
  <c r="I39" i="79"/>
  <c r="I40" i="79"/>
  <c r="I41" i="79"/>
  <c r="I42" i="79"/>
  <c r="I43" i="79"/>
  <c r="I44" i="79"/>
  <c r="I45" i="79"/>
  <c r="I46" i="79"/>
  <c r="I73" i="79"/>
  <c r="I109" i="79"/>
  <c r="I110" i="79"/>
  <c r="I115" i="79"/>
  <c r="I74" i="79"/>
  <c r="I75" i="79"/>
  <c r="I76" i="79"/>
  <c r="I77" i="79"/>
  <c r="I123" i="79"/>
  <c r="I78" i="79"/>
  <c r="I47" i="79"/>
  <c r="I48" i="79"/>
  <c r="I49" i="79"/>
  <c r="I50" i="79"/>
  <c r="I79" i="79"/>
  <c r="I80" i="79"/>
  <c r="I101" i="79"/>
  <c r="I51" i="79"/>
  <c r="I81" i="79"/>
  <c r="I82" i="79"/>
  <c r="I52" i="79"/>
  <c r="I102" i="79"/>
  <c r="I111" i="79"/>
  <c r="I53" i="79"/>
  <c r="I54" i="79"/>
  <c r="I12" i="79"/>
  <c r="I13" i="79"/>
  <c r="I55" i="79"/>
  <c r="I56" i="79"/>
  <c r="I14" i="79"/>
  <c r="I83" i="79"/>
  <c r="I103" i="79"/>
  <c r="I15" i="79"/>
  <c r="I16" i="79"/>
  <c r="I57" i="79"/>
  <c r="I58" i="79"/>
  <c r="I84" i="79"/>
  <c r="I85" i="79"/>
  <c r="I17" i="79"/>
  <c r="I86" i="79"/>
  <c r="I87" i="79"/>
  <c r="I18" i="79"/>
  <c r="I19" i="79"/>
  <c r="I59" i="79"/>
  <c r="I60" i="79"/>
  <c r="I20" i="79"/>
  <c r="I61" i="79"/>
  <c r="I62" i="79"/>
  <c r="I63" i="79"/>
  <c r="I64" i="79"/>
  <c r="I88" i="79"/>
  <c r="I89" i="79"/>
  <c r="I65" i="79"/>
  <c r="I66" i="79"/>
  <c r="I67" i="79"/>
  <c r="I104" i="79"/>
  <c r="I68" i="79"/>
  <c r="I90" i="79"/>
  <c r="I112" i="79"/>
  <c r="I113" i="79"/>
  <c r="I117" i="79"/>
  <c r="I91" i="79"/>
  <c r="I92" i="79"/>
  <c r="I93" i="79"/>
  <c r="I94" i="79"/>
  <c r="I69" i="79"/>
  <c r="I70" i="79"/>
  <c r="I118" i="79"/>
  <c r="I95" i="79"/>
  <c r="I105" i="79"/>
  <c r="I96" i="79"/>
  <c r="I97" i="79"/>
  <c r="I98" i="79"/>
  <c r="I119" i="79"/>
  <c r="I120" i="79"/>
  <c r="I71" i="79"/>
  <c r="I121" i="79"/>
  <c r="I106" i="79"/>
  <c r="I122" i="79"/>
  <c r="I125" i="79"/>
  <c r="I126" i="79"/>
  <c r="I127" i="79"/>
  <c r="I128" i="79"/>
  <c r="I129" i="79"/>
  <c r="I130" i="79"/>
  <c r="I131" i="79"/>
  <c r="I132" i="79"/>
  <c r="I138" i="79"/>
  <c r="I139" i="79"/>
  <c r="I140" i="79"/>
  <c r="I141" i="79"/>
  <c r="I142" i="79"/>
  <c r="I143" i="79"/>
  <c r="I144" i="79"/>
  <c r="I145" i="79"/>
  <c r="I146" i="79"/>
  <c r="I147" i="79"/>
  <c r="I148" i="79"/>
  <c r="I149" i="79"/>
  <c r="I150" i="79"/>
  <c r="I223" i="79"/>
  <c r="I224" i="79"/>
  <c r="I225" i="79"/>
  <c r="I151" i="79"/>
  <c r="I152" i="79"/>
  <c r="I153" i="79"/>
  <c r="I232" i="79"/>
  <c r="I154" i="79"/>
  <c r="I155" i="79"/>
  <c r="I237" i="79"/>
  <c r="I156" i="79"/>
  <c r="I238" i="79"/>
  <c r="I239" i="79"/>
  <c r="I157" i="79"/>
  <c r="I158" i="79"/>
  <c r="I159" i="79"/>
  <c r="I160" i="79"/>
  <c r="I161" i="79"/>
  <c r="I162" i="79"/>
  <c r="I163" i="79"/>
  <c r="I164" i="79"/>
  <c r="I165" i="79"/>
  <c r="I166" i="79"/>
  <c r="I167" i="79"/>
  <c r="I168" i="79"/>
  <c r="I226" i="79"/>
  <c r="I233" i="79"/>
  <c r="I240" i="79"/>
  <c r="I169" i="79"/>
  <c r="I241" i="79"/>
  <c r="I170" i="79"/>
  <c r="I171" i="79"/>
  <c r="I172" i="79"/>
  <c r="I246" i="79"/>
  <c r="I247" i="79"/>
  <c r="I173" i="79"/>
  <c r="I174" i="79"/>
  <c r="I175" i="79"/>
  <c r="I176" i="79"/>
  <c r="I177" i="79"/>
  <c r="I178" i="79"/>
  <c r="I227" i="79"/>
  <c r="I228" i="79"/>
  <c r="I179" i="79"/>
  <c r="I180" i="79"/>
  <c r="I181" i="79"/>
  <c r="I234" i="79"/>
  <c r="I242" i="79"/>
  <c r="I182" i="79"/>
  <c r="I183" i="79"/>
  <c r="I184" i="79"/>
  <c r="I185" i="79"/>
  <c r="I186" i="79"/>
  <c r="I187" i="79"/>
  <c r="I188" i="79"/>
  <c r="I229" i="79"/>
  <c r="I230" i="79"/>
  <c r="I189" i="79"/>
  <c r="I190" i="79"/>
  <c r="I191" i="79"/>
  <c r="I192" i="79"/>
  <c r="I193" i="79"/>
  <c r="I194" i="79"/>
  <c r="I195" i="79"/>
  <c r="I196" i="79"/>
  <c r="I197" i="79"/>
  <c r="I198" i="79"/>
  <c r="I199" i="79"/>
  <c r="I200" i="79"/>
  <c r="I201" i="79"/>
  <c r="I202" i="79"/>
  <c r="I203" i="79"/>
  <c r="I204" i="79"/>
  <c r="I205" i="79"/>
  <c r="I206" i="79"/>
  <c r="I207" i="79"/>
  <c r="I208" i="79"/>
  <c r="I209" i="79"/>
  <c r="I231" i="79"/>
  <c r="I210" i="79"/>
  <c r="I211" i="79"/>
  <c r="I212" i="79"/>
  <c r="I235" i="79"/>
  <c r="I236" i="79"/>
  <c r="I243" i="79"/>
  <c r="I244" i="79"/>
  <c r="I213" i="79"/>
  <c r="I214" i="79"/>
  <c r="I215" i="79"/>
  <c r="I216" i="79"/>
  <c r="I248" i="79"/>
  <c r="I217" i="79"/>
  <c r="I218" i="79"/>
  <c r="I219" i="79"/>
  <c r="I245" i="79"/>
  <c r="I220" i="79"/>
  <c r="I221" i="79"/>
  <c r="I222" i="79"/>
  <c r="I249" i="79"/>
  <c r="I250" i="79"/>
  <c r="I251" i="79"/>
  <c r="I252" i="79"/>
  <c r="I253" i="79"/>
  <c r="I254" i="79"/>
  <c r="I255" i="79"/>
  <c r="I256" i="79"/>
  <c r="I257" i="79"/>
  <c r="I258" i="79"/>
  <c r="I259" i="79"/>
  <c r="I260" i="79"/>
  <c r="I261" i="79"/>
  <c r="I268" i="79"/>
  <c r="I279" i="79" s="1"/>
  <c r="I269" i="79"/>
  <c r="I270" i="79"/>
  <c r="I271" i="79"/>
  <c r="I272" i="79"/>
  <c r="I273" i="79"/>
  <c r="I274" i="79"/>
  <c r="I275" i="79"/>
  <c r="I276" i="79"/>
  <c r="I277" i="79"/>
  <c r="I284" i="79"/>
  <c r="I285" i="79"/>
  <c r="I287" i="79"/>
  <c r="I292" i="79"/>
  <c r="I294" i="79"/>
  <c r="I296" i="79"/>
  <c r="I9" i="78"/>
  <c r="I10" i="78"/>
  <c r="I11" i="78"/>
  <c r="I97" i="78" s="1"/>
  <c r="I12" i="78"/>
  <c r="I13" i="78"/>
  <c r="I14" i="78"/>
  <c r="I15" i="78"/>
  <c r="I16" i="78"/>
  <c r="I17" i="78"/>
  <c r="I18" i="78"/>
  <c r="I19" i="78"/>
  <c r="I20" i="78"/>
  <c r="I21" i="78"/>
  <c r="I22" i="78"/>
  <c r="I23" i="78"/>
  <c r="I24" i="78"/>
  <c r="I25" i="78"/>
  <c r="I26" i="78"/>
  <c r="I27" i="78"/>
  <c r="I28" i="78"/>
  <c r="I29" i="78"/>
  <c r="I30" i="78"/>
  <c r="I31" i="78"/>
  <c r="I32" i="78"/>
  <c r="I33" i="78"/>
  <c r="I34" i="78"/>
  <c r="I35" i="78"/>
  <c r="I36" i="78"/>
  <c r="I37" i="78"/>
  <c r="I38" i="78"/>
  <c r="I39" i="78"/>
  <c r="I40" i="78"/>
  <c r="I41" i="78"/>
  <c r="I42" i="78"/>
  <c r="I43" i="78"/>
  <c r="I44" i="78"/>
  <c r="I45" i="78"/>
  <c r="I46" i="78"/>
  <c r="I47" i="78"/>
  <c r="I48" i="78"/>
  <c r="I49" i="78"/>
  <c r="I50" i="78"/>
  <c r="I51" i="78"/>
  <c r="I52" i="78"/>
  <c r="I53" i="78"/>
  <c r="I54" i="78"/>
  <c r="I55" i="78"/>
  <c r="I56" i="78"/>
  <c r="I57" i="78"/>
  <c r="I58" i="78"/>
  <c r="I59" i="78"/>
  <c r="I60" i="78"/>
  <c r="I61" i="78"/>
  <c r="I62" i="78"/>
  <c r="I63" i="78"/>
  <c r="I64" i="78"/>
  <c r="I65" i="78"/>
  <c r="I66" i="78"/>
  <c r="I67" i="78"/>
  <c r="I68" i="78"/>
  <c r="I69" i="78"/>
  <c r="I70" i="78"/>
  <c r="I71" i="78"/>
  <c r="I72" i="78"/>
  <c r="I73" i="78"/>
  <c r="I74" i="78"/>
  <c r="I75" i="78"/>
  <c r="I76" i="78"/>
  <c r="I77" i="78"/>
  <c r="I78" i="78"/>
  <c r="I79" i="78"/>
  <c r="I80" i="78"/>
  <c r="I81" i="78"/>
  <c r="I82" i="78"/>
  <c r="I83" i="78"/>
  <c r="I84" i="78"/>
  <c r="I85" i="78"/>
  <c r="I86" i="78"/>
  <c r="I87" i="78"/>
  <c r="I88" i="78"/>
  <c r="I89" i="78"/>
  <c r="I90" i="78"/>
  <c r="I91" i="78"/>
  <c r="I94" i="78"/>
  <c r="I95" i="78"/>
  <c r="I101" i="78"/>
  <c r="I102" i="78"/>
  <c r="I103" i="78"/>
  <c r="I104" i="78"/>
  <c r="I105" i="78"/>
  <c r="I106" i="78"/>
  <c r="I107" i="78"/>
  <c r="I108" i="78"/>
  <c r="I109" i="78"/>
  <c r="I110" i="78"/>
  <c r="I111" i="78"/>
  <c r="I112" i="78"/>
  <c r="I113" i="78"/>
  <c r="I114" i="78"/>
  <c r="I115" i="78"/>
  <c r="I116" i="78"/>
  <c r="I117" i="78"/>
  <c r="I118" i="78"/>
  <c r="I119" i="78"/>
  <c r="I120" i="78"/>
  <c r="I121" i="78"/>
  <c r="I122" i="78"/>
  <c r="I123" i="78"/>
  <c r="I124" i="78"/>
  <c r="I125" i="78"/>
  <c r="I185" i="78" s="1"/>
  <c r="I126" i="78"/>
  <c r="I127" i="78"/>
  <c r="I128" i="78"/>
  <c r="I129" i="78"/>
  <c r="I130" i="78"/>
  <c r="I131" i="78"/>
  <c r="I132" i="78"/>
  <c r="I133" i="78"/>
  <c r="I134" i="78"/>
  <c r="I135" i="78"/>
  <c r="I136" i="78"/>
  <c r="I137" i="78"/>
  <c r="I138" i="78"/>
  <c r="I139" i="78"/>
  <c r="I140" i="78"/>
  <c r="I141" i="78"/>
  <c r="I142" i="78"/>
  <c r="I143" i="78"/>
  <c r="I144" i="78"/>
  <c r="I145" i="78"/>
  <c r="I146" i="78"/>
  <c r="I147" i="78"/>
  <c r="I148" i="78"/>
  <c r="I149" i="78"/>
  <c r="I150" i="78"/>
  <c r="I151" i="78"/>
  <c r="I152" i="78"/>
  <c r="I153" i="78"/>
  <c r="I154" i="78"/>
  <c r="I155" i="78"/>
  <c r="I156" i="78"/>
  <c r="I157" i="78"/>
  <c r="I158" i="78"/>
  <c r="I159" i="78"/>
  <c r="I160" i="78"/>
  <c r="I161" i="78"/>
  <c r="I162" i="78"/>
  <c r="I163" i="78"/>
  <c r="I164" i="78"/>
  <c r="I165" i="78"/>
  <c r="I166" i="78"/>
  <c r="I167" i="78"/>
  <c r="I168" i="78"/>
  <c r="I169" i="78"/>
  <c r="I170" i="78"/>
  <c r="I171" i="78"/>
  <c r="I172" i="78"/>
  <c r="I173" i="78"/>
  <c r="I174" i="78"/>
  <c r="I175" i="78"/>
  <c r="I176" i="78"/>
  <c r="I177" i="78"/>
  <c r="I178" i="78"/>
  <c r="I179" i="78"/>
  <c r="I180" i="78"/>
  <c r="I181" i="78"/>
  <c r="I182" i="78"/>
  <c r="I183" i="78"/>
  <c r="I190" i="78"/>
  <c r="I193" i="78" s="1"/>
  <c r="I191" i="78"/>
  <c r="I199" i="78"/>
  <c r="I225" i="78" s="1"/>
  <c r="I201" i="78"/>
  <c r="I202" i="78"/>
  <c r="I203" i="78"/>
  <c r="I204" i="78"/>
  <c r="I205" i="78"/>
  <c r="I206" i="78"/>
  <c r="I207" i="78"/>
  <c r="I208" i="78"/>
  <c r="I209" i="78"/>
  <c r="I210" i="78"/>
  <c r="I211" i="78"/>
  <c r="I212" i="78"/>
  <c r="I213" i="78"/>
  <c r="I214" i="78"/>
  <c r="I215" i="78"/>
  <c r="I216" i="78"/>
  <c r="I217" i="78"/>
  <c r="I218" i="78"/>
  <c r="I219" i="78"/>
  <c r="I220" i="78"/>
  <c r="I221" i="78"/>
  <c r="I222" i="78"/>
  <c r="I223" i="78"/>
  <c r="I134" i="79" l="1"/>
  <c r="I263" i="79"/>
  <c r="G301" i="79"/>
  <c r="G230" i="78"/>
  <c r="G5" i="76" l="1"/>
  <c r="G6" i="76"/>
  <c r="G7" i="76"/>
  <c r="G8" i="76"/>
  <c r="G9" i="76"/>
  <c r="G25" i="76" s="1"/>
  <c r="G39" i="76" s="1"/>
  <c r="G10" i="76"/>
  <c r="G11" i="76"/>
  <c r="G12" i="76"/>
  <c r="G13" i="76"/>
  <c r="G14" i="76"/>
  <c r="G15" i="76"/>
  <c r="G16" i="76"/>
  <c r="G17" i="76"/>
  <c r="G18" i="76"/>
  <c r="G19" i="76"/>
  <c r="G20" i="76"/>
  <c r="G21" i="76"/>
  <c r="G22" i="76"/>
  <c r="F25" i="76"/>
  <c r="G35" i="76"/>
  <c r="G37" i="76"/>
  <c r="I8" i="75"/>
  <c r="I9" i="75"/>
  <c r="I10" i="75"/>
  <c r="I11" i="75"/>
  <c r="I12" i="75"/>
  <c r="I13" i="75"/>
  <c r="I14" i="75"/>
  <c r="I15" i="75"/>
  <c r="I34" i="75" s="1"/>
  <c r="I63" i="75" s="1"/>
  <c r="I70" i="75" s="1"/>
  <c r="I16" i="75"/>
  <c r="I17" i="75"/>
  <c r="D18" i="75"/>
  <c r="I18" i="75"/>
  <c r="I19" i="75"/>
  <c r="I20" i="75"/>
  <c r="I21" i="75"/>
  <c r="I22" i="75"/>
  <c r="I23" i="75"/>
  <c r="I24" i="75"/>
  <c r="I25" i="75"/>
  <c r="I26" i="75"/>
  <c r="D32" i="75"/>
  <c r="D61" i="75" s="1"/>
  <c r="I32" i="75"/>
  <c r="I61" i="75" s="1"/>
  <c r="D33" i="75"/>
  <c r="D62" i="75" s="1"/>
  <c r="E62" i="75" s="1"/>
  <c r="D34" i="75"/>
  <c r="D63" i="75" s="1"/>
  <c r="E63" i="75" s="1"/>
  <c r="E34" i="75"/>
  <c r="D35" i="75"/>
  <c r="D64" i="75" s="1"/>
  <c r="E64" i="75" s="1"/>
  <c r="E35" i="75"/>
  <c r="D36" i="75"/>
  <c r="E36" i="75" s="1"/>
  <c r="I40" i="75"/>
  <c r="I41" i="75"/>
  <c r="I42" i="75"/>
  <c r="I43" i="75"/>
  <c r="D47" i="75"/>
  <c r="I47" i="75"/>
  <c r="E47" i="75" s="1"/>
  <c r="D48" i="75"/>
  <c r="E48" i="75"/>
  <c r="D49" i="75"/>
  <c r="E49" i="75"/>
  <c r="I49" i="75"/>
  <c r="D50" i="75"/>
  <c r="E50" i="75"/>
  <c r="H55" i="75"/>
  <c r="H56" i="75"/>
  <c r="H75" i="74"/>
  <c r="E17" i="74"/>
  <c r="I68" i="75" l="1"/>
  <c r="I33" i="75"/>
  <c r="I48" i="75"/>
  <c r="E61" i="75"/>
  <c r="D65" i="75"/>
  <c r="E65" i="75" s="1"/>
  <c r="E33" i="75"/>
  <c r="E32" i="75"/>
  <c r="G101" i="56"/>
  <c r="L99" i="56"/>
  <c r="AT98" i="56"/>
  <c r="AS98" i="56"/>
  <c r="AR98" i="56"/>
  <c r="AQ98" i="56"/>
  <c r="AP98" i="56"/>
  <c r="AO98" i="56"/>
  <c r="AN98" i="56"/>
  <c r="AM98" i="56"/>
  <c r="AG98" i="56"/>
  <c r="AF98" i="56"/>
  <c r="AE98" i="56"/>
  <c r="AD98" i="56"/>
  <c r="AC98" i="56"/>
  <c r="AB98" i="56"/>
  <c r="AA98" i="56"/>
  <c r="J98" i="56"/>
  <c r="L98" i="56" s="1"/>
  <c r="J97" i="56"/>
  <c r="L97" i="56" s="1"/>
  <c r="J96" i="56"/>
  <c r="L96" i="56" s="1"/>
  <c r="AT95" i="56"/>
  <c r="AS95" i="56"/>
  <c r="AR95" i="56"/>
  <c r="AQ95" i="56"/>
  <c r="AP95" i="56"/>
  <c r="AO95" i="56"/>
  <c r="AN95" i="56"/>
  <c r="AM95" i="56"/>
  <c r="AG95" i="56"/>
  <c r="AF95" i="56"/>
  <c r="AE95" i="56"/>
  <c r="AD95" i="56"/>
  <c r="AC95" i="56"/>
  <c r="AB95" i="56"/>
  <c r="AA95" i="56"/>
  <c r="I95" i="56"/>
  <c r="G95" i="56"/>
  <c r="J95" i="56" s="1"/>
  <c r="L95" i="56" s="1"/>
  <c r="AT94" i="56"/>
  <c r="AS94" i="56"/>
  <c r="AR94" i="56"/>
  <c r="AQ94" i="56"/>
  <c r="AP94" i="56"/>
  <c r="AO94" i="56"/>
  <c r="AN94" i="56"/>
  <c r="AM94" i="56"/>
  <c r="AG94" i="56"/>
  <c r="AF94" i="56"/>
  <c r="AE94" i="56"/>
  <c r="AD94" i="56"/>
  <c r="AC94" i="56"/>
  <c r="AB94" i="56"/>
  <c r="AA94" i="56"/>
  <c r="G94" i="56"/>
  <c r="J94" i="56" s="1"/>
  <c r="L94" i="56" s="1"/>
  <c r="AT93" i="56"/>
  <c r="AS93" i="56"/>
  <c r="AR93" i="56"/>
  <c r="AQ93" i="56"/>
  <c r="AP93" i="56"/>
  <c r="AO93" i="56"/>
  <c r="AN93" i="56"/>
  <c r="AM93" i="56"/>
  <c r="AG93" i="56"/>
  <c r="AF93" i="56"/>
  <c r="AE93" i="56"/>
  <c r="AD93" i="56"/>
  <c r="AC93" i="56"/>
  <c r="AB93" i="56"/>
  <c r="AA93" i="56"/>
  <c r="J93" i="56"/>
  <c r="L93" i="56" s="1"/>
  <c r="AT92" i="56"/>
  <c r="AS92" i="56"/>
  <c r="AR92" i="56"/>
  <c r="AQ92" i="56"/>
  <c r="AP92" i="56"/>
  <c r="AO92" i="56"/>
  <c r="AN92" i="56"/>
  <c r="AM92" i="56"/>
  <c r="AG92" i="56"/>
  <c r="AF92" i="56"/>
  <c r="AE92" i="56"/>
  <c r="AD92" i="56"/>
  <c r="AC92" i="56"/>
  <c r="AB92" i="56"/>
  <c r="AA92" i="56"/>
  <c r="I73" i="56"/>
  <c r="L8" i="68" s="1"/>
  <c r="L12" i="68" s="1"/>
  <c r="G78" i="56"/>
  <c r="G102" i="56"/>
  <c r="G85" i="56"/>
  <c r="G86" i="56" s="1"/>
  <c r="AT82" i="56"/>
  <c r="AS82" i="56"/>
  <c r="AR82" i="56"/>
  <c r="AQ82" i="56"/>
  <c r="AP82" i="56"/>
  <c r="AO82" i="56"/>
  <c r="AN82" i="56"/>
  <c r="AM82" i="56"/>
  <c r="AG82" i="56"/>
  <c r="AF82" i="56"/>
  <c r="AE82" i="56"/>
  <c r="AD82" i="56"/>
  <c r="AC82" i="56"/>
  <c r="AB82" i="56"/>
  <c r="AA82" i="56"/>
  <c r="J82" i="56"/>
  <c r="L82" i="56" s="1"/>
  <c r="J81" i="56"/>
  <c r="L81" i="56" s="1"/>
  <c r="J80" i="56"/>
  <c r="L80" i="56" s="1"/>
  <c r="AT79" i="56"/>
  <c r="AS79" i="56"/>
  <c r="AR79" i="56"/>
  <c r="AQ79" i="56"/>
  <c r="AP79" i="56"/>
  <c r="AO79" i="56"/>
  <c r="AN79" i="56"/>
  <c r="AM79" i="56"/>
  <c r="AG79" i="56"/>
  <c r="AF79" i="56"/>
  <c r="AE79" i="56"/>
  <c r="AD79" i="56"/>
  <c r="AC79" i="56"/>
  <c r="AB79" i="56"/>
  <c r="AA79" i="56"/>
  <c r="I79" i="56"/>
  <c r="AT78" i="56"/>
  <c r="AS78" i="56"/>
  <c r="AR78" i="56"/>
  <c r="AQ78" i="56"/>
  <c r="AP78" i="56"/>
  <c r="AO78" i="56"/>
  <c r="AN78" i="56"/>
  <c r="AM78" i="56"/>
  <c r="AG78" i="56"/>
  <c r="AF78" i="56"/>
  <c r="AE78" i="56"/>
  <c r="AD78" i="56"/>
  <c r="AC78" i="56"/>
  <c r="AB78" i="56"/>
  <c r="AA78" i="56"/>
  <c r="AT77" i="56"/>
  <c r="AS77" i="56"/>
  <c r="AR77" i="56"/>
  <c r="AQ77" i="56"/>
  <c r="AP77" i="56"/>
  <c r="AO77" i="56"/>
  <c r="AN77" i="56"/>
  <c r="AM77" i="56"/>
  <c r="AG77" i="56"/>
  <c r="AF77" i="56"/>
  <c r="AE77" i="56"/>
  <c r="AD77" i="56"/>
  <c r="AC77" i="56"/>
  <c r="AB77" i="56"/>
  <c r="AA77" i="56"/>
  <c r="J78" i="56"/>
  <c r="L78" i="56" s="1"/>
  <c r="AT76" i="56"/>
  <c r="AS76" i="56"/>
  <c r="AR76" i="56"/>
  <c r="AQ76" i="56"/>
  <c r="AP76" i="56"/>
  <c r="AO76" i="56"/>
  <c r="AN76" i="56"/>
  <c r="AM76" i="56"/>
  <c r="AG76" i="56"/>
  <c r="AF76" i="56"/>
  <c r="AE76" i="56"/>
  <c r="AD76" i="56"/>
  <c r="AC76" i="56"/>
  <c r="AB76" i="56"/>
  <c r="AA76" i="56"/>
  <c r="AT90" i="56"/>
  <c r="AS90" i="56"/>
  <c r="AR90" i="56"/>
  <c r="AQ90" i="56"/>
  <c r="AP90" i="56"/>
  <c r="AO90" i="56"/>
  <c r="AN90" i="56"/>
  <c r="AM90" i="56"/>
  <c r="AG90" i="56"/>
  <c r="AF90" i="56"/>
  <c r="AE90" i="56"/>
  <c r="AD90" i="56"/>
  <c r="AC90" i="56"/>
  <c r="AB90" i="56"/>
  <c r="AA90" i="56"/>
  <c r="J90" i="56"/>
  <c r="L90" i="56" s="1"/>
  <c r="J89" i="56"/>
  <c r="L89" i="56" s="1"/>
  <c r="J88" i="56"/>
  <c r="L88" i="56" s="1"/>
  <c r="AT87" i="56"/>
  <c r="AS87" i="56"/>
  <c r="AR87" i="56"/>
  <c r="AQ87" i="56"/>
  <c r="AP87" i="56"/>
  <c r="AO87" i="56"/>
  <c r="AN87" i="56"/>
  <c r="AM87" i="56"/>
  <c r="AG87" i="56"/>
  <c r="AF87" i="56"/>
  <c r="AE87" i="56"/>
  <c r="AD87" i="56"/>
  <c r="AC87" i="56"/>
  <c r="AB87" i="56"/>
  <c r="AA87" i="56"/>
  <c r="I87" i="56"/>
  <c r="AT86" i="56"/>
  <c r="AS86" i="56"/>
  <c r="AR86" i="56"/>
  <c r="AQ86" i="56"/>
  <c r="AP86" i="56"/>
  <c r="AO86" i="56"/>
  <c r="AN86" i="56"/>
  <c r="AM86" i="56"/>
  <c r="AG86" i="56"/>
  <c r="AF86" i="56"/>
  <c r="AE86" i="56"/>
  <c r="AD86" i="56"/>
  <c r="AC86" i="56"/>
  <c r="AB86" i="56"/>
  <c r="AA86" i="56"/>
  <c r="AT85" i="56"/>
  <c r="AS85" i="56"/>
  <c r="AR85" i="56"/>
  <c r="AQ85" i="56"/>
  <c r="AP85" i="56"/>
  <c r="AO85" i="56"/>
  <c r="AN85" i="56"/>
  <c r="AM85" i="56"/>
  <c r="AG85" i="56"/>
  <c r="AF85" i="56"/>
  <c r="AE85" i="56"/>
  <c r="AD85" i="56"/>
  <c r="AC85" i="56"/>
  <c r="AB85" i="56"/>
  <c r="AA85" i="56"/>
  <c r="J85" i="56"/>
  <c r="L85" i="56" s="1"/>
  <c r="AT84" i="56"/>
  <c r="AS84" i="56"/>
  <c r="AR84" i="56"/>
  <c r="AQ84" i="56"/>
  <c r="AP84" i="56"/>
  <c r="AO84" i="56"/>
  <c r="AN84" i="56"/>
  <c r="AM84" i="56"/>
  <c r="AG84" i="56"/>
  <c r="AF84" i="56"/>
  <c r="AE84" i="56"/>
  <c r="AD84" i="56"/>
  <c r="AC84" i="56"/>
  <c r="AB84" i="56"/>
  <c r="AA84" i="56"/>
  <c r="AT106" i="56"/>
  <c r="AS106" i="56"/>
  <c r="AR106" i="56"/>
  <c r="AQ106" i="56"/>
  <c r="AP106" i="56"/>
  <c r="AO106" i="56"/>
  <c r="AN106" i="56"/>
  <c r="AM106" i="56"/>
  <c r="AG106" i="56"/>
  <c r="AF106" i="56"/>
  <c r="AE106" i="56"/>
  <c r="AD106" i="56"/>
  <c r="AC106" i="56"/>
  <c r="AB106" i="56"/>
  <c r="AA106" i="56"/>
  <c r="J106" i="56"/>
  <c r="L106" i="56" s="1"/>
  <c r="J105" i="56"/>
  <c r="L105" i="56" s="1"/>
  <c r="J104" i="56"/>
  <c r="L104" i="56" s="1"/>
  <c r="AT103" i="56"/>
  <c r="AS103" i="56"/>
  <c r="AR103" i="56"/>
  <c r="AQ103" i="56"/>
  <c r="AP103" i="56"/>
  <c r="AO103" i="56"/>
  <c r="AN103" i="56"/>
  <c r="AM103" i="56"/>
  <c r="AG103" i="56"/>
  <c r="AF103" i="56"/>
  <c r="AE103" i="56"/>
  <c r="AD103" i="56"/>
  <c r="AC103" i="56"/>
  <c r="AB103" i="56"/>
  <c r="AA103" i="56"/>
  <c r="I103" i="56"/>
  <c r="AT102" i="56"/>
  <c r="AS102" i="56"/>
  <c r="AR102" i="56"/>
  <c r="AQ102" i="56"/>
  <c r="AP102" i="56"/>
  <c r="AO102" i="56"/>
  <c r="AN102" i="56"/>
  <c r="AM102" i="56"/>
  <c r="AG102" i="56"/>
  <c r="AF102" i="56"/>
  <c r="AE102" i="56"/>
  <c r="AD102" i="56"/>
  <c r="AC102" i="56"/>
  <c r="AB102" i="56"/>
  <c r="AA102" i="56"/>
  <c r="AT101" i="56"/>
  <c r="AS101" i="56"/>
  <c r="AR101" i="56"/>
  <c r="AQ101" i="56"/>
  <c r="AP101" i="56"/>
  <c r="AO101" i="56"/>
  <c r="AN101" i="56"/>
  <c r="AM101" i="56"/>
  <c r="AG101" i="56"/>
  <c r="AF101" i="56"/>
  <c r="AE101" i="56"/>
  <c r="AD101" i="56"/>
  <c r="AC101" i="56"/>
  <c r="AB101" i="56"/>
  <c r="AA101" i="56"/>
  <c r="G103" i="56"/>
  <c r="AT100" i="56"/>
  <c r="AS100" i="56"/>
  <c r="AR100" i="56"/>
  <c r="AQ100" i="56"/>
  <c r="AP100" i="56"/>
  <c r="AO100" i="56"/>
  <c r="AN100" i="56"/>
  <c r="AM100" i="56"/>
  <c r="AG100" i="56"/>
  <c r="AF100" i="56"/>
  <c r="AE100" i="56"/>
  <c r="AD100" i="56"/>
  <c r="AC100" i="56"/>
  <c r="AB100" i="56"/>
  <c r="AA100" i="56"/>
  <c r="G113" i="69"/>
  <c r="G86" i="69"/>
  <c r="I70" i="56" l="1"/>
  <c r="I69" i="9"/>
  <c r="J77" i="56"/>
  <c r="L77" i="56" s="1"/>
  <c r="G79" i="56"/>
  <c r="J79" i="56" s="1"/>
  <c r="L79" i="56" s="1"/>
  <c r="J103" i="56"/>
  <c r="L103" i="56" s="1"/>
  <c r="J86" i="56"/>
  <c r="L86" i="56" s="1"/>
  <c r="G87" i="56"/>
  <c r="J87" i="56" s="1"/>
  <c r="L87" i="56" s="1"/>
  <c r="J101" i="56"/>
  <c r="L101" i="56" s="1"/>
  <c r="J102" i="56"/>
  <c r="L102" i="56" s="1"/>
  <c r="I33" i="27"/>
  <c r="G35" i="1" l="1"/>
  <c r="I43" i="17"/>
  <c r="I42" i="17"/>
  <c r="L46" i="68"/>
  <c r="L50" i="68" s="1"/>
  <c r="G41" i="9"/>
  <c r="G43" i="9"/>
  <c r="G42" i="9"/>
  <c r="G22" i="9"/>
  <c r="G21" i="9"/>
  <c r="G20" i="9"/>
  <c r="G19" i="9"/>
  <c r="G40" i="9"/>
  <c r="G18" i="9"/>
  <c r="F15" i="9"/>
  <c r="F67" i="9"/>
  <c r="G39" i="9"/>
  <c r="F36" i="9"/>
  <c r="Y508" i="9"/>
  <c r="Z508" i="9"/>
  <c r="AA508" i="9"/>
  <c r="X508" i="9"/>
  <c r="X8" i="9"/>
  <c r="Y8" i="9"/>
  <c r="Z8" i="9"/>
  <c r="AA8" i="9"/>
  <c r="X9" i="9"/>
  <c r="Y9" i="9"/>
  <c r="Z9" i="9"/>
  <c r="AA9" i="9"/>
  <c r="X10" i="9"/>
  <c r="Y10" i="9"/>
  <c r="Z10" i="9"/>
  <c r="AA10" i="9"/>
  <c r="X11" i="9"/>
  <c r="Y11" i="9"/>
  <c r="Z11" i="9"/>
  <c r="AA11" i="9"/>
  <c r="X12" i="9"/>
  <c r="Y12" i="9"/>
  <c r="Z12" i="9"/>
  <c r="AA12" i="9"/>
  <c r="X13" i="9"/>
  <c r="Y13" i="9"/>
  <c r="Z13" i="9"/>
  <c r="AA13" i="9"/>
  <c r="X14" i="9"/>
  <c r="Y14" i="9"/>
  <c r="Z14" i="9"/>
  <c r="AA14" i="9"/>
  <c r="X15" i="9"/>
  <c r="Y15" i="9"/>
  <c r="Z15" i="9"/>
  <c r="AA15" i="9"/>
  <c r="X16" i="9"/>
  <c r="Y16" i="9"/>
  <c r="Z16" i="9"/>
  <c r="AA16" i="9"/>
  <c r="X17" i="9"/>
  <c r="Y17" i="9"/>
  <c r="Z17" i="9"/>
  <c r="AA17" i="9"/>
  <c r="X18" i="9"/>
  <c r="Y18" i="9"/>
  <c r="Z18" i="9"/>
  <c r="AA18" i="9"/>
  <c r="X19" i="9"/>
  <c r="Y19" i="9"/>
  <c r="Z19" i="9"/>
  <c r="AA19" i="9"/>
  <c r="X20" i="9"/>
  <c r="Y20" i="9"/>
  <c r="Z20" i="9"/>
  <c r="AA20" i="9"/>
  <c r="X21" i="9"/>
  <c r="Y21" i="9"/>
  <c r="Z21" i="9"/>
  <c r="AA21" i="9"/>
  <c r="X22" i="9"/>
  <c r="Y22" i="9"/>
  <c r="Z22" i="9"/>
  <c r="AA22" i="9"/>
  <c r="X23" i="9"/>
  <c r="Y23" i="9"/>
  <c r="Z23" i="9"/>
  <c r="AA23" i="9"/>
  <c r="X24" i="9"/>
  <c r="Y24" i="9"/>
  <c r="Z24" i="9"/>
  <c r="AA24" i="9"/>
  <c r="X25" i="9"/>
  <c r="Y25" i="9"/>
  <c r="Z25" i="9"/>
  <c r="AA25" i="9"/>
  <c r="X26" i="9"/>
  <c r="Y26" i="9"/>
  <c r="Z26" i="9"/>
  <c r="AA26" i="9"/>
  <c r="X27" i="9"/>
  <c r="Y27" i="9"/>
  <c r="Z27" i="9"/>
  <c r="AA27" i="9"/>
  <c r="X28" i="9"/>
  <c r="Y28" i="9"/>
  <c r="Z28" i="9"/>
  <c r="AA28" i="9"/>
  <c r="X29" i="9"/>
  <c r="Y29" i="9"/>
  <c r="Z29" i="9"/>
  <c r="AA29" i="9"/>
  <c r="X30" i="9"/>
  <c r="Y30" i="9"/>
  <c r="Z30" i="9"/>
  <c r="AA30" i="9"/>
  <c r="X31" i="9"/>
  <c r="Y31" i="9"/>
  <c r="Z31" i="9"/>
  <c r="AA31" i="9"/>
  <c r="X32" i="9"/>
  <c r="Y32" i="9"/>
  <c r="Z32" i="9"/>
  <c r="AA32" i="9"/>
  <c r="X33" i="9"/>
  <c r="Y33" i="9"/>
  <c r="Z33" i="9"/>
  <c r="AA33" i="9"/>
  <c r="X34" i="9"/>
  <c r="Y34" i="9"/>
  <c r="Z34" i="9"/>
  <c r="AA34" i="9"/>
  <c r="X35" i="9"/>
  <c r="Y35" i="9"/>
  <c r="Z35" i="9"/>
  <c r="AA35" i="9"/>
  <c r="X36" i="9"/>
  <c r="Y36" i="9"/>
  <c r="Z36" i="9"/>
  <c r="AA36" i="9"/>
  <c r="X37" i="9"/>
  <c r="Y37" i="9"/>
  <c r="Z37" i="9"/>
  <c r="AA37" i="9"/>
  <c r="X38" i="9"/>
  <c r="Y38" i="9"/>
  <c r="Z38" i="9"/>
  <c r="AA38" i="9"/>
  <c r="X39" i="9"/>
  <c r="Y39" i="9"/>
  <c r="Z39" i="9"/>
  <c r="AA39" i="9"/>
  <c r="X40" i="9"/>
  <c r="Y40" i="9"/>
  <c r="Z40" i="9"/>
  <c r="AA40" i="9"/>
  <c r="X41" i="9"/>
  <c r="Y41" i="9"/>
  <c r="Z41" i="9"/>
  <c r="AA41" i="9"/>
  <c r="X42" i="9"/>
  <c r="Y42" i="9"/>
  <c r="Z42" i="9"/>
  <c r="AA42" i="9"/>
  <c r="X43" i="9"/>
  <c r="Y43" i="9"/>
  <c r="Z43" i="9"/>
  <c r="AA43" i="9"/>
  <c r="X44" i="9"/>
  <c r="Y44" i="9"/>
  <c r="Z44" i="9"/>
  <c r="AA44" i="9"/>
  <c r="X45" i="9"/>
  <c r="Y45" i="9"/>
  <c r="Z45" i="9"/>
  <c r="AA45" i="9"/>
  <c r="X46" i="9"/>
  <c r="Y46" i="9"/>
  <c r="Z46" i="9"/>
  <c r="AA46" i="9"/>
  <c r="X47" i="9"/>
  <c r="Y47" i="9"/>
  <c r="Z47" i="9"/>
  <c r="AA47" i="9"/>
  <c r="X48" i="9"/>
  <c r="Y48" i="9"/>
  <c r="Z48" i="9"/>
  <c r="AA48" i="9"/>
  <c r="X49" i="9"/>
  <c r="Y49" i="9"/>
  <c r="Z49" i="9"/>
  <c r="AA49" i="9"/>
  <c r="X50" i="9"/>
  <c r="Y50" i="9"/>
  <c r="Z50" i="9"/>
  <c r="AA50" i="9"/>
  <c r="X51" i="9"/>
  <c r="Y51" i="9"/>
  <c r="Z51" i="9"/>
  <c r="AA51" i="9"/>
  <c r="X52" i="9"/>
  <c r="Y52" i="9"/>
  <c r="Z52" i="9"/>
  <c r="AA52" i="9"/>
  <c r="X53" i="9"/>
  <c r="Y53" i="9"/>
  <c r="Z53" i="9"/>
  <c r="AA53" i="9"/>
  <c r="X54" i="9"/>
  <c r="Y54" i="9"/>
  <c r="Z54" i="9"/>
  <c r="AA54" i="9"/>
  <c r="X55" i="9"/>
  <c r="Y55" i="9"/>
  <c r="Z55" i="9"/>
  <c r="AA55" i="9"/>
  <c r="X56" i="9"/>
  <c r="Y56" i="9"/>
  <c r="Z56" i="9"/>
  <c r="AA56" i="9"/>
  <c r="X57" i="9"/>
  <c r="Y57" i="9"/>
  <c r="Z57" i="9"/>
  <c r="AA57" i="9"/>
  <c r="X58" i="9"/>
  <c r="Y58" i="9"/>
  <c r="Z58" i="9"/>
  <c r="AA58" i="9"/>
  <c r="X59" i="9"/>
  <c r="Y59" i="9"/>
  <c r="Z59" i="9"/>
  <c r="AA59" i="9"/>
  <c r="X60" i="9"/>
  <c r="Y60" i="9"/>
  <c r="Z60" i="9"/>
  <c r="AA60" i="9"/>
  <c r="X61" i="9"/>
  <c r="Y61" i="9"/>
  <c r="Z61" i="9"/>
  <c r="AA61" i="9"/>
  <c r="X62" i="9"/>
  <c r="Y62" i="9"/>
  <c r="Z62" i="9"/>
  <c r="AA62" i="9"/>
  <c r="X63" i="9"/>
  <c r="Y63" i="9"/>
  <c r="Z63" i="9"/>
  <c r="AA63" i="9"/>
  <c r="X64" i="9"/>
  <c r="Y64" i="9"/>
  <c r="Z64" i="9"/>
  <c r="AA64" i="9"/>
  <c r="X65" i="9"/>
  <c r="Y65" i="9"/>
  <c r="Z65" i="9"/>
  <c r="AA65" i="9"/>
  <c r="X66" i="9"/>
  <c r="Y66" i="9"/>
  <c r="Z66" i="9"/>
  <c r="AA66" i="9"/>
  <c r="X67" i="9"/>
  <c r="Y67" i="9"/>
  <c r="Z67" i="9"/>
  <c r="AA67" i="9"/>
  <c r="X68" i="9"/>
  <c r="Y68" i="9"/>
  <c r="Z68" i="9"/>
  <c r="AA68" i="9"/>
  <c r="X69" i="9"/>
  <c r="Y69" i="9"/>
  <c r="Z69" i="9"/>
  <c r="AA69" i="9"/>
  <c r="X70" i="9"/>
  <c r="Y70" i="9"/>
  <c r="Z70" i="9"/>
  <c r="AA70" i="9"/>
  <c r="X71" i="9"/>
  <c r="Y71" i="9"/>
  <c r="Z71" i="9"/>
  <c r="AA71" i="9"/>
  <c r="X72" i="9"/>
  <c r="Y72" i="9"/>
  <c r="Z72" i="9"/>
  <c r="AA72" i="9"/>
  <c r="X73" i="9"/>
  <c r="Y73" i="9"/>
  <c r="Z73" i="9"/>
  <c r="AA73" i="9"/>
  <c r="X74" i="9"/>
  <c r="Y74" i="9"/>
  <c r="Z74" i="9"/>
  <c r="AA74" i="9"/>
  <c r="X75" i="9"/>
  <c r="Y75" i="9"/>
  <c r="Z75" i="9"/>
  <c r="AA75" i="9"/>
  <c r="X76" i="9"/>
  <c r="Y76" i="9"/>
  <c r="Z76" i="9"/>
  <c r="AA76" i="9"/>
  <c r="X77" i="9"/>
  <c r="Y77" i="9"/>
  <c r="Z77" i="9"/>
  <c r="AA77" i="9"/>
  <c r="X78" i="9"/>
  <c r="Y78" i="9"/>
  <c r="Z78" i="9"/>
  <c r="AA78" i="9"/>
  <c r="X79" i="9"/>
  <c r="Y79" i="9"/>
  <c r="Z79" i="9"/>
  <c r="AA79" i="9"/>
  <c r="X80" i="9"/>
  <c r="Y80" i="9"/>
  <c r="Z80" i="9"/>
  <c r="AA80" i="9"/>
  <c r="X81" i="9"/>
  <c r="Y81" i="9"/>
  <c r="Z81" i="9"/>
  <c r="AA81" i="9"/>
  <c r="X82" i="9"/>
  <c r="Y82" i="9"/>
  <c r="Z82" i="9"/>
  <c r="AA82" i="9"/>
  <c r="X83" i="9"/>
  <c r="Y83" i="9"/>
  <c r="Z83" i="9"/>
  <c r="AA83" i="9"/>
  <c r="X84" i="9"/>
  <c r="Y84" i="9"/>
  <c r="Z84" i="9"/>
  <c r="AA84" i="9"/>
  <c r="X85" i="9"/>
  <c r="Y85" i="9"/>
  <c r="Z85" i="9"/>
  <c r="AA85" i="9"/>
  <c r="X86" i="9"/>
  <c r="Y86" i="9"/>
  <c r="Z86" i="9"/>
  <c r="AA86" i="9"/>
  <c r="X87" i="9"/>
  <c r="Y87" i="9"/>
  <c r="Z87" i="9"/>
  <c r="AA87" i="9"/>
  <c r="X88" i="9"/>
  <c r="Y88" i="9"/>
  <c r="Z88" i="9"/>
  <c r="AA88" i="9"/>
  <c r="X89" i="9"/>
  <c r="Y89" i="9"/>
  <c r="Z89" i="9"/>
  <c r="AA89" i="9"/>
  <c r="X90" i="9"/>
  <c r="Y90" i="9"/>
  <c r="Z90" i="9"/>
  <c r="AA90" i="9"/>
  <c r="X91" i="9"/>
  <c r="Y91" i="9"/>
  <c r="Z91" i="9"/>
  <c r="AA91" i="9"/>
  <c r="X92" i="9"/>
  <c r="Y92" i="9"/>
  <c r="Z92" i="9"/>
  <c r="AA92" i="9"/>
  <c r="X93" i="9"/>
  <c r="Y93" i="9"/>
  <c r="Z93" i="9"/>
  <c r="AA93" i="9"/>
  <c r="X94" i="9"/>
  <c r="Y94" i="9"/>
  <c r="Z94" i="9"/>
  <c r="AA94" i="9"/>
  <c r="X95" i="9"/>
  <c r="Y95" i="9"/>
  <c r="Z95" i="9"/>
  <c r="AA95" i="9"/>
  <c r="X96" i="9"/>
  <c r="Y96" i="9"/>
  <c r="Z96" i="9"/>
  <c r="AA96" i="9"/>
  <c r="X97" i="9"/>
  <c r="Y97" i="9"/>
  <c r="Z97" i="9"/>
  <c r="AA97" i="9"/>
  <c r="X98" i="9"/>
  <c r="Y98" i="9"/>
  <c r="Z98" i="9"/>
  <c r="AA98" i="9"/>
  <c r="X99" i="9"/>
  <c r="Y99" i="9"/>
  <c r="Z99" i="9"/>
  <c r="AA99" i="9"/>
  <c r="X100" i="9"/>
  <c r="Y100" i="9"/>
  <c r="Z100" i="9"/>
  <c r="AA100" i="9"/>
  <c r="X101" i="9"/>
  <c r="Y101" i="9"/>
  <c r="Z101" i="9"/>
  <c r="AA101" i="9"/>
  <c r="X102" i="9"/>
  <c r="Y102" i="9"/>
  <c r="Z102" i="9"/>
  <c r="AA102" i="9"/>
  <c r="X103" i="9"/>
  <c r="Y103" i="9"/>
  <c r="Z103" i="9"/>
  <c r="AA103" i="9"/>
  <c r="X104" i="9"/>
  <c r="Y104" i="9"/>
  <c r="Z104" i="9"/>
  <c r="AA104" i="9"/>
  <c r="X105" i="9"/>
  <c r="Y105" i="9"/>
  <c r="Z105" i="9"/>
  <c r="AA105" i="9"/>
  <c r="X106" i="9"/>
  <c r="Y106" i="9"/>
  <c r="Z106" i="9"/>
  <c r="AA106" i="9"/>
  <c r="X107" i="9"/>
  <c r="Y107" i="9"/>
  <c r="Z107" i="9"/>
  <c r="AA107" i="9"/>
  <c r="X108" i="9"/>
  <c r="Y108" i="9"/>
  <c r="Z108" i="9"/>
  <c r="AA108" i="9"/>
  <c r="X109" i="9"/>
  <c r="Y109" i="9"/>
  <c r="Z109" i="9"/>
  <c r="AA109" i="9"/>
  <c r="X110" i="9"/>
  <c r="Y110" i="9"/>
  <c r="Z110" i="9"/>
  <c r="AA110" i="9"/>
  <c r="X111" i="9"/>
  <c r="Y111" i="9"/>
  <c r="Z111" i="9"/>
  <c r="AA111" i="9"/>
  <c r="X112" i="9"/>
  <c r="Y112" i="9"/>
  <c r="Z112" i="9"/>
  <c r="AA112" i="9"/>
  <c r="X113" i="9"/>
  <c r="Y113" i="9"/>
  <c r="Z113" i="9"/>
  <c r="AA113" i="9"/>
  <c r="X114" i="9"/>
  <c r="Y114" i="9"/>
  <c r="Z114" i="9"/>
  <c r="AA114" i="9"/>
  <c r="X115" i="9"/>
  <c r="Y115" i="9"/>
  <c r="Z115" i="9"/>
  <c r="AA115" i="9"/>
  <c r="X116" i="9"/>
  <c r="Y116" i="9"/>
  <c r="Z116" i="9"/>
  <c r="AA116" i="9"/>
  <c r="X117" i="9"/>
  <c r="Y117" i="9"/>
  <c r="Z117" i="9"/>
  <c r="AA117" i="9"/>
  <c r="X118" i="9"/>
  <c r="Y118" i="9"/>
  <c r="Z118" i="9"/>
  <c r="AA118" i="9"/>
  <c r="X119" i="9"/>
  <c r="Y119" i="9"/>
  <c r="Z119" i="9"/>
  <c r="AA119" i="9"/>
  <c r="X120" i="9"/>
  <c r="Y120" i="9"/>
  <c r="Z120" i="9"/>
  <c r="AA120" i="9"/>
  <c r="X121" i="9"/>
  <c r="Y121" i="9"/>
  <c r="Z121" i="9"/>
  <c r="AA121" i="9"/>
  <c r="X122" i="9"/>
  <c r="Y122" i="9"/>
  <c r="Z122" i="9"/>
  <c r="AA122" i="9"/>
  <c r="X123" i="9"/>
  <c r="Y123" i="9"/>
  <c r="Z123" i="9"/>
  <c r="AA123" i="9"/>
  <c r="X124" i="9"/>
  <c r="Y124" i="9"/>
  <c r="Z124" i="9"/>
  <c r="AA124" i="9"/>
  <c r="X125" i="9"/>
  <c r="Y125" i="9"/>
  <c r="Z125" i="9"/>
  <c r="AA125" i="9"/>
  <c r="X126" i="9"/>
  <c r="Y126" i="9"/>
  <c r="Z126" i="9"/>
  <c r="AA126" i="9"/>
  <c r="X127" i="9"/>
  <c r="Y127" i="9"/>
  <c r="Z127" i="9"/>
  <c r="AA127" i="9"/>
  <c r="X128" i="9"/>
  <c r="Y128" i="9"/>
  <c r="Z128" i="9"/>
  <c r="AA128" i="9"/>
  <c r="X129" i="9"/>
  <c r="Y129" i="9"/>
  <c r="Z129" i="9"/>
  <c r="AA129" i="9"/>
  <c r="X130" i="9"/>
  <c r="Y130" i="9"/>
  <c r="Z130" i="9"/>
  <c r="AA130" i="9"/>
  <c r="X131" i="9"/>
  <c r="Y131" i="9"/>
  <c r="Z131" i="9"/>
  <c r="AA131" i="9"/>
  <c r="X132" i="9"/>
  <c r="Y132" i="9"/>
  <c r="Z132" i="9"/>
  <c r="AA132" i="9"/>
  <c r="X133" i="9"/>
  <c r="Y133" i="9"/>
  <c r="Z133" i="9"/>
  <c r="AA133" i="9"/>
  <c r="X134" i="9"/>
  <c r="Y134" i="9"/>
  <c r="Z134" i="9"/>
  <c r="AA134" i="9"/>
  <c r="X135" i="9"/>
  <c r="Y135" i="9"/>
  <c r="Z135" i="9"/>
  <c r="AA135" i="9"/>
  <c r="X136" i="9"/>
  <c r="Y136" i="9"/>
  <c r="Z136" i="9"/>
  <c r="AA136" i="9"/>
  <c r="X137" i="9"/>
  <c r="Y137" i="9"/>
  <c r="Z137" i="9"/>
  <c r="AA137" i="9"/>
  <c r="X138" i="9"/>
  <c r="Y138" i="9"/>
  <c r="Z138" i="9"/>
  <c r="AA138" i="9"/>
  <c r="X139" i="9"/>
  <c r="Y139" i="9"/>
  <c r="Z139" i="9"/>
  <c r="AA139" i="9"/>
  <c r="X140" i="9"/>
  <c r="Y140" i="9"/>
  <c r="Z140" i="9"/>
  <c r="AA140" i="9"/>
  <c r="X141" i="9"/>
  <c r="Y141" i="9"/>
  <c r="Z141" i="9"/>
  <c r="AA141" i="9"/>
  <c r="X142" i="9"/>
  <c r="Y142" i="9"/>
  <c r="Z142" i="9"/>
  <c r="AA142" i="9"/>
  <c r="X143" i="9"/>
  <c r="Y143" i="9"/>
  <c r="Z143" i="9"/>
  <c r="AA143" i="9"/>
  <c r="X144" i="9"/>
  <c r="Y144" i="9"/>
  <c r="Z144" i="9"/>
  <c r="AA144" i="9"/>
  <c r="X145" i="9"/>
  <c r="Y145" i="9"/>
  <c r="Z145" i="9"/>
  <c r="AA145" i="9"/>
  <c r="X146" i="9"/>
  <c r="Y146" i="9"/>
  <c r="Z146" i="9"/>
  <c r="AA146" i="9"/>
  <c r="X147" i="9"/>
  <c r="Y147" i="9"/>
  <c r="Z147" i="9"/>
  <c r="AA147" i="9"/>
  <c r="X148" i="9"/>
  <c r="Y148" i="9"/>
  <c r="Z148" i="9"/>
  <c r="AA148" i="9"/>
  <c r="X149" i="9"/>
  <c r="Y149" i="9"/>
  <c r="Z149" i="9"/>
  <c r="AA149" i="9"/>
  <c r="X150" i="9"/>
  <c r="Y150" i="9"/>
  <c r="Z150" i="9"/>
  <c r="AA150" i="9"/>
  <c r="X151" i="9"/>
  <c r="Y151" i="9"/>
  <c r="Z151" i="9"/>
  <c r="AA151" i="9"/>
  <c r="X152" i="9"/>
  <c r="Y152" i="9"/>
  <c r="Z152" i="9"/>
  <c r="AA152" i="9"/>
  <c r="X153" i="9"/>
  <c r="Y153" i="9"/>
  <c r="Z153" i="9"/>
  <c r="AA153" i="9"/>
  <c r="X154" i="9"/>
  <c r="Y154" i="9"/>
  <c r="Z154" i="9"/>
  <c r="AA154" i="9"/>
  <c r="X155" i="9"/>
  <c r="Y155" i="9"/>
  <c r="Z155" i="9"/>
  <c r="AA155" i="9"/>
  <c r="X156" i="9"/>
  <c r="Y156" i="9"/>
  <c r="Z156" i="9"/>
  <c r="AA156" i="9"/>
  <c r="X157" i="9"/>
  <c r="Y157" i="9"/>
  <c r="Z157" i="9"/>
  <c r="AA157" i="9"/>
  <c r="X158" i="9"/>
  <c r="Y158" i="9"/>
  <c r="Z158" i="9"/>
  <c r="AA158" i="9"/>
  <c r="X159" i="9"/>
  <c r="Y159" i="9"/>
  <c r="Z159" i="9"/>
  <c r="AA159" i="9"/>
  <c r="X160" i="9"/>
  <c r="Y160" i="9"/>
  <c r="Z160" i="9"/>
  <c r="AA160" i="9"/>
  <c r="X161" i="9"/>
  <c r="Y161" i="9"/>
  <c r="Z161" i="9"/>
  <c r="AA161" i="9"/>
  <c r="X162" i="9"/>
  <c r="Y162" i="9"/>
  <c r="Z162" i="9"/>
  <c r="AA162" i="9"/>
  <c r="X163" i="9"/>
  <c r="Y163" i="9"/>
  <c r="Z163" i="9"/>
  <c r="AA163" i="9"/>
  <c r="X164" i="9"/>
  <c r="Y164" i="9"/>
  <c r="Z164" i="9"/>
  <c r="AA164" i="9"/>
  <c r="X165" i="9"/>
  <c r="Y165" i="9"/>
  <c r="Z165" i="9"/>
  <c r="AA165" i="9"/>
  <c r="X166" i="9"/>
  <c r="Y166" i="9"/>
  <c r="Z166" i="9"/>
  <c r="AA166" i="9"/>
  <c r="X167" i="9"/>
  <c r="Y167" i="9"/>
  <c r="Z167" i="9"/>
  <c r="AA167" i="9"/>
  <c r="X168" i="9"/>
  <c r="Y168" i="9"/>
  <c r="Z168" i="9"/>
  <c r="AA168" i="9"/>
  <c r="X169" i="9"/>
  <c r="Y169" i="9"/>
  <c r="Z169" i="9"/>
  <c r="AA169" i="9"/>
  <c r="X170" i="9"/>
  <c r="Y170" i="9"/>
  <c r="Z170" i="9"/>
  <c r="AA170" i="9"/>
  <c r="X171" i="9"/>
  <c r="Y171" i="9"/>
  <c r="Z171" i="9"/>
  <c r="AA171" i="9"/>
  <c r="X172" i="9"/>
  <c r="Y172" i="9"/>
  <c r="Z172" i="9"/>
  <c r="AA172" i="9"/>
  <c r="X173" i="9"/>
  <c r="Y173" i="9"/>
  <c r="Z173" i="9"/>
  <c r="AA173" i="9"/>
  <c r="X174" i="9"/>
  <c r="Y174" i="9"/>
  <c r="Z174" i="9"/>
  <c r="AA174" i="9"/>
  <c r="X175" i="9"/>
  <c r="Y175" i="9"/>
  <c r="Z175" i="9"/>
  <c r="AA175" i="9"/>
  <c r="X176" i="9"/>
  <c r="Y176" i="9"/>
  <c r="Z176" i="9"/>
  <c r="AA176" i="9"/>
  <c r="X177" i="9"/>
  <c r="Y177" i="9"/>
  <c r="Z177" i="9"/>
  <c r="AA177" i="9"/>
  <c r="X178" i="9"/>
  <c r="Y178" i="9"/>
  <c r="Z178" i="9"/>
  <c r="AA178" i="9"/>
  <c r="X179" i="9"/>
  <c r="Y179" i="9"/>
  <c r="Z179" i="9"/>
  <c r="AA179" i="9"/>
  <c r="X180" i="9"/>
  <c r="Y180" i="9"/>
  <c r="Z180" i="9"/>
  <c r="AA180" i="9"/>
  <c r="X181" i="9"/>
  <c r="Y181" i="9"/>
  <c r="Z181" i="9"/>
  <c r="AA181" i="9"/>
  <c r="X182" i="9"/>
  <c r="Y182" i="9"/>
  <c r="Z182" i="9"/>
  <c r="AA182" i="9"/>
  <c r="X183" i="9"/>
  <c r="Y183" i="9"/>
  <c r="Z183" i="9"/>
  <c r="AA183" i="9"/>
  <c r="X184" i="9"/>
  <c r="Y184" i="9"/>
  <c r="Z184" i="9"/>
  <c r="AA184" i="9"/>
  <c r="X185" i="9"/>
  <c r="Y185" i="9"/>
  <c r="Z185" i="9"/>
  <c r="AA185" i="9"/>
  <c r="X186" i="9"/>
  <c r="Y186" i="9"/>
  <c r="Z186" i="9"/>
  <c r="AA186" i="9"/>
  <c r="X187" i="9"/>
  <c r="Y187" i="9"/>
  <c r="Z187" i="9"/>
  <c r="AA187" i="9"/>
  <c r="X188" i="9"/>
  <c r="Y188" i="9"/>
  <c r="Z188" i="9"/>
  <c r="AA188" i="9"/>
  <c r="X189" i="9"/>
  <c r="Y189" i="9"/>
  <c r="Z189" i="9"/>
  <c r="AA189" i="9"/>
  <c r="X190" i="9"/>
  <c r="Y190" i="9"/>
  <c r="Z190" i="9"/>
  <c r="AA190" i="9"/>
  <c r="X191" i="9"/>
  <c r="Y191" i="9"/>
  <c r="Z191" i="9"/>
  <c r="AA191" i="9"/>
  <c r="X192" i="9"/>
  <c r="Y192" i="9"/>
  <c r="Z192" i="9"/>
  <c r="AA192" i="9"/>
  <c r="X193" i="9"/>
  <c r="Y193" i="9"/>
  <c r="Z193" i="9"/>
  <c r="AA193" i="9"/>
  <c r="X194" i="9"/>
  <c r="Y194" i="9"/>
  <c r="Z194" i="9"/>
  <c r="AA194" i="9"/>
  <c r="X195" i="9"/>
  <c r="Y195" i="9"/>
  <c r="Z195" i="9"/>
  <c r="AA195" i="9"/>
  <c r="X196" i="9"/>
  <c r="Y196" i="9"/>
  <c r="Z196" i="9"/>
  <c r="AA196" i="9"/>
  <c r="X197" i="9"/>
  <c r="Y197" i="9"/>
  <c r="Z197" i="9"/>
  <c r="AA197" i="9"/>
  <c r="X198" i="9"/>
  <c r="Y198" i="9"/>
  <c r="Z198" i="9"/>
  <c r="AA198" i="9"/>
  <c r="X199" i="9"/>
  <c r="Y199" i="9"/>
  <c r="Z199" i="9"/>
  <c r="AA199" i="9"/>
  <c r="X200" i="9"/>
  <c r="Y200" i="9"/>
  <c r="Z200" i="9"/>
  <c r="AA200" i="9"/>
  <c r="X201" i="9"/>
  <c r="Y201" i="9"/>
  <c r="Z201" i="9"/>
  <c r="AA201" i="9"/>
  <c r="X202" i="9"/>
  <c r="Y202" i="9"/>
  <c r="Z202" i="9"/>
  <c r="AA202" i="9"/>
  <c r="X203" i="9"/>
  <c r="Y203" i="9"/>
  <c r="Z203" i="9"/>
  <c r="AA203" i="9"/>
  <c r="X204" i="9"/>
  <c r="Y204" i="9"/>
  <c r="Z204" i="9"/>
  <c r="AA204" i="9"/>
  <c r="X205" i="9"/>
  <c r="Y205" i="9"/>
  <c r="Z205" i="9"/>
  <c r="AA205" i="9"/>
  <c r="X206" i="9"/>
  <c r="Y206" i="9"/>
  <c r="Z206" i="9"/>
  <c r="AA206" i="9"/>
  <c r="X207" i="9"/>
  <c r="Y207" i="9"/>
  <c r="Z207" i="9"/>
  <c r="AA207" i="9"/>
  <c r="X208" i="9"/>
  <c r="Y208" i="9"/>
  <c r="Z208" i="9"/>
  <c r="AA208" i="9"/>
  <c r="X209" i="9"/>
  <c r="Y209" i="9"/>
  <c r="Z209" i="9"/>
  <c r="AA209" i="9"/>
  <c r="X210" i="9"/>
  <c r="Y210" i="9"/>
  <c r="Z210" i="9"/>
  <c r="AA210" i="9"/>
  <c r="X211" i="9"/>
  <c r="Y211" i="9"/>
  <c r="Z211" i="9"/>
  <c r="AA211" i="9"/>
  <c r="X212" i="9"/>
  <c r="Y212" i="9"/>
  <c r="Z212" i="9"/>
  <c r="AA212" i="9"/>
  <c r="X213" i="9"/>
  <c r="Y213" i="9"/>
  <c r="Z213" i="9"/>
  <c r="AA213" i="9"/>
  <c r="X214" i="9"/>
  <c r="Y214" i="9"/>
  <c r="Z214" i="9"/>
  <c r="AA214" i="9"/>
  <c r="X215" i="9"/>
  <c r="Y215" i="9"/>
  <c r="Z215" i="9"/>
  <c r="AA215" i="9"/>
  <c r="X216" i="9"/>
  <c r="Y216" i="9"/>
  <c r="Z216" i="9"/>
  <c r="AA216" i="9"/>
  <c r="X217" i="9"/>
  <c r="Y217" i="9"/>
  <c r="Z217" i="9"/>
  <c r="AA217" i="9"/>
  <c r="X218" i="9"/>
  <c r="Y218" i="9"/>
  <c r="Z218" i="9"/>
  <c r="AA218" i="9"/>
  <c r="X219" i="9"/>
  <c r="Y219" i="9"/>
  <c r="Z219" i="9"/>
  <c r="AA219" i="9"/>
  <c r="X220" i="9"/>
  <c r="Y220" i="9"/>
  <c r="Z220" i="9"/>
  <c r="AA220" i="9"/>
  <c r="X221" i="9"/>
  <c r="Y221" i="9"/>
  <c r="Z221" i="9"/>
  <c r="AA221" i="9"/>
  <c r="X222" i="9"/>
  <c r="Y222" i="9"/>
  <c r="Z222" i="9"/>
  <c r="AA222" i="9"/>
  <c r="X223" i="9"/>
  <c r="Y223" i="9"/>
  <c r="Z223" i="9"/>
  <c r="AA223" i="9"/>
  <c r="X224" i="9"/>
  <c r="Y224" i="9"/>
  <c r="Z224" i="9"/>
  <c r="AA224" i="9"/>
  <c r="X225" i="9"/>
  <c r="Y225" i="9"/>
  <c r="Z225" i="9"/>
  <c r="AA225" i="9"/>
  <c r="X226" i="9"/>
  <c r="Y226" i="9"/>
  <c r="Z226" i="9"/>
  <c r="AA226" i="9"/>
  <c r="X227" i="9"/>
  <c r="Y227" i="9"/>
  <c r="Z227" i="9"/>
  <c r="AA227" i="9"/>
  <c r="X228" i="9"/>
  <c r="Y228" i="9"/>
  <c r="Z228" i="9"/>
  <c r="AA228" i="9"/>
  <c r="X229" i="9"/>
  <c r="Y229" i="9"/>
  <c r="Z229" i="9"/>
  <c r="AA229" i="9"/>
  <c r="X230" i="9"/>
  <c r="Y230" i="9"/>
  <c r="Z230" i="9"/>
  <c r="AA230" i="9"/>
  <c r="X231" i="9"/>
  <c r="Y231" i="9"/>
  <c r="Z231" i="9"/>
  <c r="AA231" i="9"/>
  <c r="X232" i="9"/>
  <c r="Y232" i="9"/>
  <c r="Z232" i="9"/>
  <c r="AA232" i="9"/>
  <c r="X233" i="9"/>
  <c r="Y233" i="9"/>
  <c r="Z233" i="9"/>
  <c r="AA233" i="9"/>
  <c r="X234" i="9"/>
  <c r="Y234" i="9"/>
  <c r="Z234" i="9"/>
  <c r="AA234" i="9"/>
  <c r="X235" i="9"/>
  <c r="Y235" i="9"/>
  <c r="Z235" i="9"/>
  <c r="AA235" i="9"/>
  <c r="X236" i="9"/>
  <c r="Y236" i="9"/>
  <c r="Z236" i="9"/>
  <c r="AA236" i="9"/>
  <c r="X237" i="9"/>
  <c r="Y237" i="9"/>
  <c r="Z237" i="9"/>
  <c r="AA237" i="9"/>
  <c r="X238" i="9"/>
  <c r="Y238" i="9"/>
  <c r="Z238" i="9"/>
  <c r="AA238" i="9"/>
  <c r="X239" i="9"/>
  <c r="Y239" i="9"/>
  <c r="Z239" i="9"/>
  <c r="AA239" i="9"/>
  <c r="X240" i="9"/>
  <c r="Y240" i="9"/>
  <c r="Z240" i="9"/>
  <c r="AA240" i="9"/>
  <c r="X241" i="9"/>
  <c r="Y241" i="9"/>
  <c r="Z241" i="9"/>
  <c r="AA241" i="9"/>
  <c r="X242" i="9"/>
  <c r="Y242" i="9"/>
  <c r="Z242" i="9"/>
  <c r="AA242" i="9"/>
  <c r="X243" i="9"/>
  <c r="Y243" i="9"/>
  <c r="Z243" i="9"/>
  <c r="AA243" i="9"/>
  <c r="X244" i="9"/>
  <c r="Y244" i="9"/>
  <c r="Z244" i="9"/>
  <c r="AA244" i="9"/>
  <c r="X245" i="9"/>
  <c r="Y245" i="9"/>
  <c r="Z245" i="9"/>
  <c r="AA245" i="9"/>
  <c r="X246" i="9"/>
  <c r="Y246" i="9"/>
  <c r="Z246" i="9"/>
  <c r="AA246" i="9"/>
  <c r="X247" i="9"/>
  <c r="Y247" i="9"/>
  <c r="Z247" i="9"/>
  <c r="AA247" i="9"/>
  <c r="X248" i="9"/>
  <c r="Y248" i="9"/>
  <c r="Z248" i="9"/>
  <c r="AA248" i="9"/>
  <c r="X249" i="9"/>
  <c r="Y249" i="9"/>
  <c r="Z249" i="9"/>
  <c r="AA249" i="9"/>
  <c r="X250" i="9"/>
  <c r="Y250" i="9"/>
  <c r="Z250" i="9"/>
  <c r="AA250" i="9"/>
  <c r="X251" i="9"/>
  <c r="Y251" i="9"/>
  <c r="Z251" i="9"/>
  <c r="AA251" i="9"/>
  <c r="X252" i="9"/>
  <c r="Y252" i="9"/>
  <c r="Z252" i="9"/>
  <c r="AA252" i="9"/>
  <c r="X253" i="9"/>
  <c r="Y253" i="9"/>
  <c r="Z253" i="9"/>
  <c r="AA253" i="9"/>
  <c r="X254" i="9"/>
  <c r="Y254" i="9"/>
  <c r="Z254" i="9"/>
  <c r="AA254" i="9"/>
  <c r="X255" i="9"/>
  <c r="Y255" i="9"/>
  <c r="Z255" i="9"/>
  <c r="AA255" i="9"/>
  <c r="X256" i="9"/>
  <c r="Y256" i="9"/>
  <c r="Z256" i="9"/>
  <c r="AA256" i="9"/>
  <c r="X257" i="9"/>
  <c r="Y257" i="9"/>
  <c r="Z257" i="9"/>
  <c r="AA257" i="9"/>
  <c r="X258" i="9"/>
  <c r="Y258" i="9"/>
  <c r="Z258" i="9"/>
  <c r="AA258" i="9"/>
  <c r="X259" i="9"/>
  <c r="Y259" i="9"/>
  <c r="Z259" i="9"/>
  <c r="AA259" i="9"/>
  <c r="X260" i="9"/>
  <c r="Y260" i="9"/>
  <c r="Z260" i="9"/>
  <c r="AA260" i="9"/>
  <c r="X261" i="9"/>
  <c r="Y261" i="9"/>
  <c r="Z261" i="9"/>
  <c r="AA261" i="9"/>
  <c r="X262" i="9"/>
  <c r="Y262" i="9"/>
  <c r="Z262" i="9"/>
  <c r="AA262" i="9"/>
  <c r="X263" i="9"/>
  <c r="Y263" i="9"/>
  <c r="Z263" i="9"/>
  <c r="AA263" i="9"/>
  <c r="X264" i="9"/>
  <c r="Y264" i="9"/>
  <c r="Z264" i="9"/>
  <c r="AA264" i="9"/>
  <c r="X265" i="9"/>
  <c r="Y265" i="9"/>
  <c r="Z265" i="9"/>
  <c r="AA265" i="9"/>
  <c r="X266" i="9"/>
  <c r="Y266" i="9"/>
  <c r="Z266" i="9"/>
  <c r="AA266" i="9"/>
  <c r="X267" i="9"/>
  <c r="Y267" i="9"/>
  <c r="Z267" i="9"/>
  <c r="AA267" i="9"/>
  <c r="X268" i="9"/>
  <c r="Y268" i="9"/>
  <c r="Z268" i="9"/>
  <c r="AA268" i="9"/>
  <c r="X269" i="9"/>
  <c r="Y269" i="9"/>
  <c r="Z269" i="9"/>
  <c r="AA269" i="9"/>
  <c r="X270" i="9"/>
  <c r="Y270" i="9"/>
  <c r="Z270" i="9"/>
  <c r="AA270" i="9"/>
  <c r="X271" i="9"/>
  <c r="Y271" i="9"/>
  <c r="Z271" i="9"/>
  <c r="AA271" i="9"/>
  <c r="X272" i="9"/>
  <c r="Y272" i="9"/>
  <c r="Z272" i="9"/>
  <c r="AA272" i="9"/>
  <c r="X273" i="9"/>
  <c r="Y273" i="9"/>
  <c r="Z273" i="9"/>
  <c r="AA273" i="9"/>
  <c r="X274" i="9"/>
  <c r="Y274" i="9"/>
  <c r="Z274" i="9"/>
  <c r="AA274" i="9"/>
  <c r="X275" i="9"/>
  <c r="Y275" i="9"/>
  <c r="Z275" i="9"/>
  <c r="AA275" i="9"/>
  <c r="X276" i="9"/>
  <c r="Y276" i="9"/>
  <c r="Z276" i="9"/>
  <c r="AA276" i="9"/>
  <c r="X277" i="9"/>
  <c r="Y277" i="9"/>
  <c r="Z277" i="9"/>
  <c r="AA277" i="9"/>
  <c r="X278" i="9"/>
  <c r="Y278" i="9"/>
  <c r="Z278" i="9"/>
  <c r="AA278" i="9"/>
  <c r="X279" i="9"/>
  <c r="Y279" i="9"/>
  <c r="Z279" i="9"/>
  <c r="AA279" i="9"/>
  <c r="X280" i="9"/>
  <c r="Y280" i="9"/>
  <c r="Z280" i="9"/>
  <c r="AA280" i="9"/>
  <c r="X281" i="9"/>
  <c r="Y281" i="9"/>
  <c r="Z281" i="9"/>
  <c r="AA281" i="9"/>
  <c r="X282" i="9"/>
  <c r="Y282" i="9"/>
  <c r="Z282" i="9"/>
  <c r="AA282" i="9"/>
  <c r="X283" i="9"/>
  <c r="Y283" i="9"/>
  <c r="Z283" i="9"/>
  <c r="AA283" i="9"/>
  <c r="X284" i="9"/>
  <c r="Y284" i="9"/>
  <c r="Z284" i="9"/>
  <c r="AA284" i="9"/>
  <c r="X285" i="9"/>
  <c r="Y285" i="9"/>
  <c r="Z285" i="9"/>
  <c r="AA285" i="9"/>
  <c r="X286" i="9"/>
  <c r="Y286" i="9"/>
  <c r="Z286" i="9"/>
  <c r="AA286" i="9"/>
  <c r="X287" i="9"/>
  <c r="Y287" i="9"/>
  <c r="Z287" i="9"/>
  <c r="AA287" i="9"/>
  <c r="X288" i="9"/>
  <c r="Y288" i="9"/>
  <c r="Z288" i="9"/>
  <c r="AA288" i="9"/>
  <c r="X289" i="9"/>
  <c r="Y289" i="9"/>
  <c r="Z289" i="9"/>
  <c r="AA289" i="9"/>
  <c r="X290" i="9"/>
  <c r="Y290" i="9"/>
  <c r="Z290" i="9"/>
  <c r="AA290" i="9"/>
  <c r="X291" i="9"/>
  <c r="Y291" i="9"/>
  <c r="Z291" i="9"/>
  <c r="AA291" i="9"/>
  <c r="X292" i="9"/>
  <c r="Y292" i="9"/>
  <c r="Z292" i="9"/>
  <c r="AA292" i="9"/>
  <c r="X293" i="9"/>
  <c r="Y293" i="9"/>
  <c r="Z293" i="9"/>
  <c r="AA293" i="9"/>
  <c r="X294" i="9"/>
  <c r="Y294" i="9"/>
  <c r="Z294" i="9"/>
  <c r="AA294" i="9"/>
  <c r="X295" i="9"/>
  <c r="Y295" i="9"/>
  <c r="Z295" i="9"/>
  <c r="AA295" i="9"/>
  <c r="X296" i="9"/>
  <c r="Y296" i="9"/>
  <c r="Z296" i="9"/>
  <c r="AA296" i="9"/>
  <c r="X297" i="9"/>
  <c r="Y297" i="9"/>
  <c r="Z297" i="9"/>
  <c r="AA297" i="9"/>
  <c r="X298" i="9"/>
  <c r="Y298" i="9"/>
  <c r="Z298" i="9"/>
  <c r="AA298" i="9"/>
  <c r="X299" i="9"/>
  <c r="Y299" i="9"/>
  <c r="Z299" i="9"/>
  <c r="AA299" i="9"/>
  <c r="X300" i="9"/>
  <c r="Y300" i="9"/>
  <c r="Z300" i="9"/>
  <c r="AA300" i="9"/>
  <c r="X301" i="9"/>
  <c r="Y301" i="9"/>
  <c r="Z301" i="9"/>
  <c r="AA301" i="9"/>
  <c r="X302" i="9"/>
  <c r="Y302" i="9"/>
  <c r="Z302" i="9"/>
  <c r="AA302" i="9"/>
  <c r="X303" i="9"/>
  <c r="Y303" i="9"/>
  <c r="Z303" i="9"/>
  <c r="AA303" i="9"/>
  <c r="X304" i="9"/>
  <c r="Y304" i="9"/>
  <c r="Z304" i="9"/>
  <c r="AA304" i="9"/>
  <c r="X305" i="9"/>
  <c r="Y305" i="9"/>
  <c r="Z305" i="9"/>
  <c r="AA305" i="9"/>
  <c r="X306" i="9"/>
  <c r="Y306" i="9"/>
  <c r="Z306" i="9"/>
  <c r="AA306" i="9"/>
  <c r="X307" i="9"/>
  <c r="Y307" i="9"/>
  <c r="Z307" i="9"/>
  <c r="AA307" i="9"/>
  <c r="X308" i="9"/>
  <c r="Y308" i="9"/>
  <c r="Z308" i="9"/>
  <c r="AA308" i="9"/>
  <c r="X309" i="9"/>
  <c r="Y309" i="9"/>
  <c r="Z309" i="9"/>
  <c r="AA309" i="9"/>
  <c r="X310" i="9"/>
  <c r="Y310" i="9"/>
  <c r="Z310" i="9"/>
  <c r="AA310" i="9"/>
  <c r="X311" i="9"/>
  <c r="Y311" i="9"/>
  <c r="Z311" i="9"/>
  <c r="AA311" i="9"/>
  <c r="X312" i="9"/>
  <c r="Y312" i="9"/>
  <c r="Z312" i="9"/>
  <c r="AA312" i="9"/>
  <c r="X313" i="9"/>
  <c r="Y313" i="9"/>
  <c r="Z313" i="9"/>
  <c r="AA313" i="9"/>
  <c r="X314" i="9"/>
  <c r="Y314" i="9"/>
  <c r="Z314" i="9"/>
  <c r="AA314" i="9"/>
  <c r="X315" i="9"/>
  <c r="Y315" i="9"/>
  <c r="Z315" i="9"/>
  <c r="AA315" i="9"/>
  <c r="X316" i="9"/>
  <c r="Y316" i="9"/>
  <c r="Z316" i="9"/>
  <c r="AA316" i="9"/>
  <c r="X317" i="9"/>
  <c r="Y317" i="9"/>
  <c r="Z317" i="9"/>
  <c r="AA317" i="9"/>
  <c r="X318" i="9"/>
  <c r="Y318" i="9"/>
  <c r="Z318" i="9"/>
  <c r="AA318" i="9"/>
  <c r="X319" i="9"/>
  <c r="Y319" i="9"/>
  <c r="Z319" i="9"/>
  <c r="AA319" i="9"/>
  <c r="X320" i="9"/>
  <c r="Y320" i="9"/>
  <c r="Z320" i="9"/>
  <c r="AA320" i="9"/>
  <c r="X321" i="9"/>
  <c r="Y321" i="9"/>
  <c r="Z321" i="9"/>
  <c r="AA321" i="9"/>
  <c r="X322" i="9"/>
  <c r="Y322" i="9"/>
  <c r="Z322" i="9"/>
  <c r="AA322" i="9"/>
  <c r="X323" i="9"/>
  <c r="Y323" i="9"/>
  <c r="Z323" i="9"/>
  <c r="AA323" i="9"/>
  <c r="X324" i="9"/>
  <c r="Y324" i="9"/>
  <c r="Z324" i="9"/>
  <c r="AA324" i="9"/>
  <c r="X325" i="9"/>
  <c r="Y325" i="9"/>
  <c r="Z325" i="9"/>
  <c r="AA325" i="9"/>
  <c r="X326" i="9"/>
  <c r="Y326" i="9"/>
  <c r="Z326" i="9"/>
  <c r="AA326" i="9"/>
  <c r="X327" i="9"/>
  <c r="Y327" i="9"/>
  <c r="Z327" i="9"/>
  <c r="AA327" i="9"/>
  <c r="X328" i="9"/>
  <c r="Y328" i="9"/>
  <c r="Z328" i="9"/>
  <c r="AA328" i="9"/>
  <c r="X329" i="9"/>
  <c r="Y329" i="9"/>
  <c r="Z329" i="9"/>
  <c r="AA329" i="9"/>
  <c r="X330" i="9"/>
  <c r="Y330" i="9"/>
  <c r="Z330" i="9"/>
  <c r="AA330" i="9"/>
  <c r="X331" i="9"/>
  <c r="Y331" i="9"/>
  <c r="Z331" i="9"/>
  <c r="AA331" i="9"/>
  <c r="X332" i="9"/>
  <c r="Y332" i="9"/>
  <c r="Z332" i="9"/>
  <c r="AA332" i="9"/>
  <c r="X333" i="9"/>
  <c r="Y333" i="9"/>
  <c r="Z333" i="9"/>
  <c r="AA333" i="9"/>
  <c r="X334" i="9"/>
  <c r="Y334" i="9"/>
  <c r="Z334" i="9"/>
  <c r="AA334" i="9"/>
  <c r="X335" i="9"/>
  <c r="Y335" i="9"/>
  <c r="Z335" i="9"/>
  <c r="AA335" i="9"/>
  <c r="X336" i="9"/>
  <c r="Y336" i="9"/>
  <c r="Z336" i="9"/>
  <c r="AA336" i="9"/>
  <c r="X337" i="9"/>
  <c r="Y337" i="9"/>
  <c r="Z337" i="9"/>
  <c r="AA337" i="9"/>
  <c r="X338" i="9"/>
  <c r="Y338" i="9"/>
  <c r="Z338" i="9"/>
  <c r="AA338" i="9"/>
  <c r="X339" i="9"/>
  <c r="Y339" i="9"/>
  <c r="Z339" i="9"/>
  <c r="AA339" i="9"/>
  <c r="X340" i="9"/>
  <c r="Y340" i="9"/>
  <c r="Z340" i="9"/>
  <c r="AA340" i="9"/>
  <c r="X341" i="9"/>
  <c r="Y341" i="9"/>
  <c r="Z341" i="9"/>
  <c r="AA341" i="9"/>
  <c r="X342" i="9"/>
  <c r="Y342" i="9"/>
  <c r="Z342" i="9"/>
  <c r="AA342" i="9"/>
  <c r="X343" i="9"/>
  <c r="Y343" i="9"/>
  <c r="Z343" i="9"/>
  <c r="AA343" i="9"/>
  <c r="X344" i="9"/>
  <c r="Y344" i="9"/>
  <c r="Z344" i="9"/>
  <c r="AA344" i="9"/>
  <c r="X345" i="9"/>
  <c r="Y345" i="9"/>
  <c r="Z345" i="9"/>
  <c r="AA345" i="9"/>
  <c r="X346" i="9"/>
  <c r="Y346" i="9"/>
  <c r="Z346" i="9"/>
  <c r="AA346" i="9"/>
  <c r="X347" i="9"/>
  <c r="Y347" i="9"/>
  <c r="Z347" i="9"/>
  <c r="AA347" i="9"/>
  <c r="X348" i="9"/>
  <c r="Y348" i="9"/>
  <c r="Z348" i="9"/>
  <c r="AA348" i="9"/>
  <c r="X349" i="9"/>
  <c r="Y349" i="9"/>
  <c r="Z349" i="9"/>
  <c r="AA349" i="9"/>
  <c r="X350" i="9"/>
  <c r="Y350" i="9"/>
  <c r="Z350" i="9"/>
  <c r="AA350" i="9"/>
  <c r="X351" i="9"/>
  <c r="Y351" i="9"/>
  <c r="Z351" i="9"/>
  <c r="AA351" i="9"/>
  <c r="X352" i="9"/>
  <c r="Y352" i="9"/>
  <c r="Z352" i="9"/>
  <c r="AA352" i="9"/>
  <c r="X353" i="9"/>
  <c r="Y353" i="9"/>
  <c r="Z353" i="9"/>
  <c r="AA353" i="9"/>
  <c r="X354" i="9"/>
  <c r="Y354" i="9"/>
  <c r="Z354" i="9"/>
  <c r="AA354" i="9"/>
  <c r="X355" i="9"/>
  <c r="Y355" i="9"/>
  <c r="Z355" i="9"/>
  <c r="AA355" i="9"/>
  <c r="X356" i="9"/>
  <c r="Y356" i="9"/>
  <c r="Z356" i="9"/>
  <c r="AA356" i="9"/>
  <c r="X357" i="9"/>
  <c r="Y357" i="9"/>
  <c r="Z357" i="9"/>
  <c r="AA357" i="9"/>
  <c r="X358" i="9"/>
  <c r="Y358" i="9"/>
  <c r="Z358" i="9"/>
  <c r="AA358" i="9"/>
  <c r="X359" i="9"/>
  <c r="Y359" i="9"/>
  <c r="Z359" i="9"/>
  <c r="AA359" i="9"/>
  <c r="X360" i="9"/>
  <c r="Y360" i="9"/>
  <c r="Z360" i="9"/>
  <c r="AA360" i="9"/>
  <c r="X361" i="9"/>
  <c r="Y361" i="9"/>
  <c r="Z361" i="9"/>
  <c r="AA361" i="9"/>
  <c r="X362" i="9"/>
  <c r="Y362" i="9"/>
  <c r="Z362" i="9"/>
  <c r="AA362" i="9"/>
  <c r="X363" i="9"/>
  <c r="Y363" i="9"/>
  <c r="Z363" i="9"/>
  <c r="AA363" i="9"/>
  <c r="X364" i="9"/>
  <c r="Y364" i="9"/>
  <c r="Z364" i="9"/>
  <c r="AA364" i="9"/>
  <c r="X365" i="9"/>
  <c r="Y365" i="9"/>
  <c r="Z365" i="9"/>
  <c r="AA365" i="9"/>
  <c r="X366" i="9"/>
  <c r="Y366" i="9"/>
  <c r="Z366" i="9"/>
  <c r="AA366" i="9"/>
  <c r="X367" i="9"/>
  <c r="Y367" i="9"/>
  <c r="Z367" i="9"/>
  <c r="AA367" i="9"/>
  <c r="X368" i="9"/>
  <c r="Y368" i="9"/>
  <c r="Z368" i="9"/>
  <c r="AA368" i="9"/>
  <c r="X369" i="9"/>
  <c r="Y369" i="9"/>
  <c r="Z369" i="9"/>
  <c r="AA369" i="9"/>
  <c r="X370" i="9"/>
  <c r="Y370" i="9"/>
  <c r="Z370" i="9"/>
  <c r="AA370" i="9"/>
  <c r="X371" i="9"/>
  <c r="Y371" i="9"/>
  <c r="Z371" i="9"/>
  <c r="AA371" i="9"/>
  <c r="X372" i="9"/>
  <c r="Y372" i="9"/>
  <c r="Z372" i="9"/>
  <c r="AA372" i="9"/>
  <c r="X373" i="9"/>
  <c r="Y373" i="9"/>
  <c r="Z373" i="9"/>
  <c r="AA373" i="9"/>
  <c r="X374" i="9"/>
  <c r="Y374" i="9"/>
  <c r="Z374" i="9"/>
  <c r="AA374" i="9"/>
  <c r="X375" i="9"/>
  <c r="Y375" i="9"/>
  <c r="Z375" i="9"/>
  <c r="AA375" i="9"/>
  <c r="X376" i="9"/>
  <c r="Y376" i="9"/>
  <c r="Z376" i="9"/>
  <c r="AA376" i="9"/>
  <c r="X377" i="9"/>
  <c r="Y377" i="9"/>
  <c r="Z377" i="9"/>
  <c r="AA377" i="9"/>
  <c r="X378" i="9"/>
  <c r="Y378" i="9"/>
  <c r="Z378" i="9"/>
  <c r="AA378" i="9"/>
  <c r="X379" i="9"/>
  <c r="Y379" i="9"/>
  <c r="Z379" i="9"/>
  <c r="AA379" i="9"/>
  <c r="X380" i="9"/>
  <c r="Y380" i="9"/>
  <c r="Z380" i="9"/>
  <c r="AA380" i="9"/>
  <c r="X381" i="9"/>
  <c r="Y381" i="9"/>
  <c r="Z381" i="9"/>
  <c r="AA381" i="9"/>
  <c r="X382" i="9"/>
  <c r="Y382" i="9"/>
  <c r="Z382" i="9"/>
  <c r="AA382" i="9"/>
  <c r="X383" i="9"/>
  <c r="Y383" i="9"/>
  <c r="Z383" i="9"/>
  <c r="AA383" i="9"/>
  <c r="X384" i="9"/>
  <c r="Y384" i="9"/>
  <c r="Z384" i="9"/>
  <c r="AA384" i="9"/>
  <c r="X385" i="9"/>
  <c r="Y385" i="9"/>
  <c r="Z385" i="9"/>
  <c r="AA385" i="9"/>
  <c r="X386" i="9"/>
  <c r="Y386" i="9"/>
  <c r="Z386" i="9"/>
  <c r="AA386" i="9"/>
  <c r="X387" i="9"/>
  <c r="Y387" i="9"/>
  <c r="Z387" i="9"/>
  <c r="AA387" i="9"/>
  <c r="X388" i="9"/>
  <c r="Y388" i="9"/>
  <c r="Z388" i="9"/>
  <c r="AA388" i="9"/>
  <c r="X389" i="9"/>
  <c r="Y389" i="9"/>
  <c r="Z389" i="9"/>
  <c r="AA389" i="9"/>
  <c r="X390" i="9"/>
  <c r="Y390" i="9"/>
  <c r="Z390" i="9"/>
  <c r="AA390" i="9"/>
  <c r="X391" i="9"/>
  <c r="Y391" i="9"/>
  <c r="Z391" i="9"/>
  <c r="AA391" i="9"/>
  <c r="X392" i="9"/>
  <c r="Y392" i="9"/>
  <c r="Z392" i="9"/>
  <c r="AA392" i="9"/>
  <c r="X393" i="9"/>
  <c r="Y393" i="9"/>
  <c r="Z393" i="9"/>
  <c r="AA393" i="9"/>
  <c r="X394" i="9"/>
  <c r="Y394" i="9"/>
  <c r="Z394" i="9"/>
  <c r="AA394" i="9"/>
  <c r="X395" i="9"/>
  <c r="Y395" i="9"/>
  <c r="Z395" i="9"/>
  <c r="AA395" i="9"/>
  <c r="X396" i="9"/>
  <c r="Y396" i="9"/>
  <c r="Z396" i="9"/>
  <c r="AA396" i="9"/>
  <c r="X397" i="9"/>
  <c r="Y397" i="9"/>
  <c r="Z397" i="9"/>
  <c r="AA397" i="9"/>
  <c r="X398" i="9"/>
  <c r="Y398" i="9"/>
  <c r="Z398" i="9"/>
  <c r="AA398" i="9"/>
  <c r="X399" i="9"/>
  <c r="Y399" i="9"/>
  <c r="Z399" i="9"/>
  <c r="AA399" i="9"/>
  <c r="X400" i="9"/>
  <c r="Y400" i="9"/>
  <c r="Z400" i="9"/>
  <c r="AA400" i="9"/>
  <c r="X401" i="9"/>
  <c r="Y401" i="9"/>
  <c r="Z401" i="9"/>
  <c r="AA401" i="9"/>
  <c r="X402" i="9"/>
  <c r="Y402" i="9"/>
  <c r="Z402" i="9"/>
  <c r="AA402" i="9"/>
  <c r="X403" i="9"/>
  <c r="Y403" i="9"/>
  <c r="Z403" i="9"/>
  <c r="AA403" i="9"/>
  <c r="X404" i="9"/>
  <c r="Y404" i="9"/>
  <c r="Z404" i="9"/>
  <c r="AA404" i="9"/>
  <c r="X405" i="9"/>
  <c r="Y405" i="9"/>
  <c r="Z405" i="9"/>
  <c r="AA405" i="9"/>
  <c r="X406" i="9"/>
  <c r="Y406" i="9"/>
  <c r="Z406" i="9"/>
  <c r="AA406" i="9"/>
  <c r="X407" i="9"/>
  <c r="Y407" i="9"/>
  <c r="Z407" i="9"/>
  <c r="AA407" i="9"/>
  <c r="X408" i="9"/>
  <c r="Y408" i="9"/>
  <c r="Z408" i="9"/>
  <c r="AA408" i="9"/>
  <c r="X409" i="9"/>
  <c r="Y409" i="9"/>
  <c r="Z409" i="9"/>
  <c r="AA409" i="9"/>
  <c r="X410" i="9"/>
  <c r="Y410" i="9"/>
  <c r="Z410" i="9"/>
  <c r="AA410" i="9"/>
  <c r="X411" i="9"/>
  <c r="Y411" i="9"/>
  <c r="Z411" i="9"/>
  <c r="AA411" i="9"/>
  <c r="X412" i="9"/>
  <c r="Y412" i="9"/>
  <c r="Z412" i="9"/>
  <c r="AA412" i="9"/>
  <c r="X413" i="9"/>
  <c r="Y413" i="9"/>
  <c r="Z413" i="9"/>
  <c r="AA413" i="9"/>
  <c r="X414" i="9"/>
  <c r="Y414" i="9"/>
  <c r="Z414" i="9"/>
  <c r="AA414" i="9"/>
  <c r="X415" i="9"/>
  <c r="Y415" i="9"/>
  <c r="Z415" i="9"/>
  <c r="AA415" i="9"/>
  <c r="X416" i="9"/>
  <c r="Y416" i="9"/>
  <c r="Z416" i="9"/>
  <c r="AA416" i="9"/>
  <c r="X417" i="9"/>
  <c r="Y417" i="9"/>
  <c r="Z417" i="9"/>
  <c r="AA417" i="9"/>
  <c r="X418" i="9"/>
  <c r="Y418" i="9"/>
  <c r="Z418" i="9"/>
  <c r="AA418" i="9"/>
  <c r="X419" i="9"/>
  <c r="Y419" i="9"/>
  <c r="Z419" i="9"/>
  <c r="AA419" i="9"/>
  <c r="X420" i="9"/>
  <c r="Y420" i="9"/>
  <c r="Z420" i="9"/>
  <c r="AA420" i="9"/>
  <c r="X421" i="9"/>
  <c r="Y421" i="9"/>
  <c r="Z421" i="9"/>
  <c r="AA421" i="9"/>
  <c r="X422" i="9"/>
  <c r="Y422" i="9"/>
  <c r="Z422" i="9"/>
  <c r="AA422" i="9"/>
  <c r="X423" i="9"/>
  <c r="Y423" i="9"/>
  <c r="Z423" i="9"/>
  <c r="AA423" i="9"/>
  <c r="X424" i="9"/>
  <c r="Y424" i="9"/>
  <c r="Z424" i="9"/>
  <c r="AA424" i="9"/>
  <c r="X425" i="9"/>
  <c r="Y425" i="9"/>
  <c r="Z425" i="9"/>
  <c r="AA425" i="9"/>
  <c r="X426" i="9"/>
  <c r="Y426" i="9"/>
  <c r="Z426" i="9"/>
  <c r="AA426" i="9"/>
  <c r="X427" i="9"/>
  <c r="Y427" i="9"/>
  <c r="Z427" i="9"/>
  <c r="AA427" i="9"/>
  <c r="X428" i="9"/>
  <c r="Y428" i="9"/>
  <c r="Z428" i="9"/>
  <c r="AA428" i="9"/>
  <c r="X429" i="9"/>
  <c r="Y429" i="9"/>
  <c r="Z429" i="9"/>
  <c r="AA429" i="9"/>
  <c r="X430" i="9"/>
  <c r="Y430" i="9"/>
  <c r="Z430" i="9"/>
  <c r="AA430" i="9"/>
  <c r="X431" i="9"/>
  <c r="Y431" i="9"/>
  <c r="Z431" i="9"/>
  <c r="AA431" i="9"/>
  <c r="X432" i="9"/>
  <c r="Y432" i="9"/>
  <c r="Z432" i="9"/>
  <c r="AA432" i="9"/>
  <c r="X433" i="9"/>
  <c r="Y433" i="9"/>
  <c r="Z433" i="9"/>
  <c r="AA433" i="9"/>
  <c r="X434" i="9"/>
  <c r="Y434" i="9"/>
  <c r="Z434" i="9"/>
  <c r="AA434" i="9"/>
  <c r="X435" i="9"/>
  <c r="Y435" i="9"/>
  <c r="Z435" i="9"/>
  <c r="AA435" i="9"/>
  <c r="X436" i="9"/>
  <c r="Y436" i="9"/>
  <c r="Z436" i="9"/>
  <c r="AA436" i="9"/>
  <c r="X437" i="9"/>
  <c r="Y437" i="9"/>
  <c r="Z437" i="9"/>
  <c r="AA437" i="9"/>
  <c r="X438" i="9"/>
  <c r="Y438" i="9"/>
  <c r="Z438" i="9"/>
  <c r="AA438" i="9"/>
  <c r="X439" i="9"/>
  <c r="Y439" i="9"/>
  <c r="Z439" i="9"/>
  <c r="AA439" i="9"/>
  <c r="X440" i="9"/>
  <c r="Y440" i="9"/>
  <c r="Z440" i="9"/>
  <c r="AA440" i="9"/>
  <c r="X441" i="9"/>
  <c r="Y441" i="9"/>
  <c r="Z441" i="9"/>
  <c r="AA441" i="9"/>
  <c r="X442" i="9"/>
  <c r="Y442" i="9"/>
  <c r="Z442" i="9"/>
  <c r="AA442" i="9"/>
  <c r="X443" i="9"/>
  <c r="Y443" i="9"/>
  <c r="Z443" i="9"/>
  <c r="AA443" i="9"/>
  <c r="X444" i="9"/>
  <c r="Y444" i="9"/>
  <c r="Z444" i="9"/>
  <c r="AA444" i="9"/>
  <c r="X445" i="9"/>
  <c r="Y445" i="9"/>
  <c r="Z445" i="9"/>
  <c r="AA445" i="9"/>
  <c r="X446" i="9"/>
  <c r="Y446" i="9"/>
  <c r="Z446" i="9"/>
  <c r="AA446" i="9"/>
  <c r="X447" i="9"/>
  <c r="Y447" i="9"/>
  <c r="Z447" i="9"/>
  <c r="AA447" i="9"/>
  <c r="X448" i="9"/>
  <c r="Y448" i="9"/>
  <c r="Z448" i="9"/>
  <c r="AA448" i="9"/>
  <c r="X449" i="9"/>
  <c r="Y449" i="9"/>
  <c r="Z449" i="9"/>
  <c r="AA449" i="9"/>
  <c r="X450" i="9"/>
  <c r="Y450" i="9"/>
  <c r="Z450" i="9"/>
  <c r="AA450" i="9"/>
  <c r="X451" i="9"/>
  <c r="Y451" i="9"/>
  <c r="Z451" i="9"/>
  <c r="AA451" i="9"/>
  <c r="X452" i="9"/>
  <c r="Y452" i="9"/>
  <c r="Z452" i="9"/>
  <c r="AA452" i="9"/>
  <c r="X453" i="9"/>
  <c r="Y453" i="9"/>
  <c r="Z453" i="9"/>
  <c r="AA453" i="9"/>
  <c r="X454" i="9"/>
  <c r="Y454" i="9"/>
  <c r="Z454" i="9"/>
  <c r="AA454" i="9"/>
  <c r="X455" i="9"/>
  <c r="Y455" i="9"/>
  <c r="Z455" i="9"/>
  <c r="AA455" i="9"/>
  <c r="X456" i="9"/>
  <c r="Y456" i="9"/>
  <c r="Z456" i="9"/>
  <c r="AA456" i="9"/>
  <c r="X457" i="9"/>
  <c r="Y457" i="9"/>
  <c r="Z457" i="9"/>
  <c r="AA457" i="9"/>
  <c r="X458" i="9"/>
  <c r="Y458" i="9"/>
  <c r="Z458" i="9"/>
  <c r="AA458" i="9"/>
  <c r="X459" i="9"/>
  <c r="Y459" i="9"/>
  <c r="Z459" i="9"/>
  <c r="AA459" i="9"/>
  <c r="X460" i="9"/>
  <c r="Y460" i="9"/>
  <c r="Z460" i="9"/>
  <c r="AA460" i="9"/>
  <c r="X461" i="9"/>
  <c r="Y461" i="9"/>
  <c r="Z461" i="9"/>
  <c r="AA461" i="9"/>
  <c r="X462" i="9"/>
  <c r="Y462" i="9"/>
  <c r="Z462" i="9"/>
  <c r="AA462" i="9"/>
  <c r="X463" i="9"/>
  <c r="Y463" i="9"/>
  <c r="Z463" i="9"/>
  <c r="AA463" i="9"/>
  <c r="X464" i="9"/>
  <c r="Y464" i="9"/>
  <c r="Z464" i="9"/>
  <c r="AA464" i="9"/>
  <c r="X465" i="9"/>
  <c r="Y465" i="9"/>
  <c r="Z465" i="9"/>
  <c r="AA465" i="9"/>
  <c r="X466" i="9"/>
  <c r="Y466" i="9"/>
  <c r="Z466" i="9"/>
  <c r="AA466" i="9"/>
  <c r="X7" i="9"/>
  <c r="Y7" i="9"/>
  <c r="Z7" i="9"/>
  <c r="AA7" i="9"/>
  <c r="Y6" i="9"/>
  <c r="Z6" i="9"/>
  <c r="AA6" i="9"/>
  <c r="X6" i="9"/>
  <c r="L95" i="58"/>
  <c r="L94" i="58"/>
  <c r="O94" i="58"/>
  <c r="O93" i="58"/>
  <c r="O95" i="58"/>
  <c r="R94" i="58"/>
  <c r="R95" i="58"/>
  <c r="R93" i="58"/>
  <c r="AF55" i="58"/>
  <c r="AG55" i="58" s="1"/>
  <c r="AH55" i="58" s="1"/>
  <c r="AE55" i="58"/>
  <c r="AB55" i="58"/>
  <c r="X55" i="58"/>
  <c r="U55" i="58"/>
  <c r="R55" i="58"/>
  <c r="O55" i="58"/>
  <c r="AF54" i="58"/>
  <c r="AG54" i="58" s="1"/>
  <c r="AH54" i="58" s="1"/>
  <c r="AE54" i="58"/>
  <c r="AB54" i="58"/>
  <c r="X54" i="58"/>
  <c r="U54" i="58"/>
  <c r="R54" i="58"/>
  <c r="O54" i="58"/>
  <c r="AF53" i="58"/>
  <c r="AG53" i="58" s="1"/>
  <c r="AH53" i="58" s="1"/>
  <c r="AE53" i="58"/>
  <c r="AB53" i="58"/>
  <c r="X53" i="58"/>
  <c r="U53" i="58"/>
  <c r="R53" i="58"/>
  <c r="O53" i="58"/>
  <c r="AF52" i="58"/>
  <c r="AG52" i="58" s="1"/>
  <c r="AH52" i="58" s="1"/>
  <c r="AE52" i="58"/>
  <c r="AB52" i="58"/>
  <c r="X52" i="58"/>
  <c r="U52" i="58"/>
  <c r="R52" i="58"/>
  <c r="O52" i="58"/>
  <c r="AF51" i="58"/>
  <c r="AG51" i="58" s="1"/>
  <c r="AH51" i="58" s="1"/>
  <c r="AE51" i="58"/>
  <c r="AB51" i="58"/>
  <c r="X51" i="58"/>
  <c r="U51" i="58"/>
  <c r="R51" i="58"/>
  <c r="O51" i="58"/>
  <c r="AF50" i="58"/>
  <c r="AG50" i="58" s="1"/>
  <c r="AH50" i="58" s="1"/>
  <c r="AE50" i="58"/>
  <c r="AB50" i="58"/>
  <c r="X50" i="58"/>
  <c r="U50" i="58"/>
  <c r="R50" i="58"/>
  <c r="O50" i="58"/>
  <c r="AF49" i="58"/>
  <c r="AG49" i="58" s="1"/>
  <c r="AH49" i="58" s="1"/>
  <c r="AE49" i="58"/>
  <c r="AB49" i="58"/>
  <c r="X49" i="58"/>
  <c r="U49" i="58"/>
  <c r="R49" i="58"/>
  <c r="O49" i="58"/>
  <c r="AF48" i="58"/>
  <c r="AG48" i="58" s="1"/>
  <c r="AH48" i="58" s="1"/>
  <c r="AE48" i="58"/>
  <c r="AB48" i="58"/>
  <c r="X48" i="58"/>
  <c r="U48" i="58"/>
  <c r="R48" i="58"/>
  <c r="O48" i="58"/>
  <c r="AF47" i="58"/>
  <c r="AG47" i="58" s="1"/>
  <c r="AH47" i="58" s="1"/>
  <c r="AE47" i="58"/>
  <c r="AB47" i="58"/>
  <c r="X47" i="58"/>
  <c r="U47" i="58"/>
  <c r="R47" i="58"/>
  <c r="O47" i="58"/>
  <c r="AA47" i="58" s="1"/>
  <c r="AF46" i="58"/>
  <c r="AG46" i="58" s="1"/>
  <c r="AH46" i="58" s="1"/>
  <c r="AE46" i="58"/>
  <c r="AB46" i="58"/>
  <c r="X46" i="58"/>
  <c r="U46" i="58"/>
  <c r="R46" i="58"/>
  <c r="O46" i="58"/>
  <c r="AF45" i="58"/>
  <c r="AG45" i="58" s="1"/>
  <c r="AH45" i="58" s="1"/>
  <c r="AE45" i="58"/>
  <c r="AB45" i="58"/>
  <c r="X45" i="58"/>
  <c r="U45" i="58"/>
  <c r="R45" i="58"/>
  <c r="O45" i="58"/>
  <c r="AA45" i="58" s="1"/>
  <c r="AF44" i="58"/>
  <c r="AG44" i="58" s="1"/>
  <c r="AH44" i="58" s="1"/>
  <c r="AE44" i="58"/>
  <c r="AB44" i="58"/>
  <c r="X44" i="58"/>
  <c r="U44" i="58"/>
  <c r="R44" i="58"/>
  <c r="O44" i="58"/>
  <c r="AF43" i="58"/>
  <c r="AG43" i="58" s="1"/>
  <c r="AH43" i="58" s="1"/>
  <c r="AE43" i="58"/>
  <c r="AB43" i="58"/>
  <c r="X43" i="58"/>
  <c r="U43" i="58"/>
  <c r="R43" i="58"/>
  <c r="O43" i="58"/>
  <c r="AF42" i="58"/>
  <c r="AG42" i="58" s="1"/>
  <c r="AH42" i="58" s="1"/>
  <c r="AE42" i="58"/>
  <c r="AB42" i="58"/>
  <c r="X42" i="58"/>
  <c r="U42" i="58"/>
  <c r="R42" i="58"/>
  <c r="O42" i="58"/>
  <c r="AF41" i="58"/>
  <c r="AG41" i="58" s="1"/>
  <c r="AH41" i="58" s="1"/>
  <c r="AE41" i="58"/>
  <c r="AB41" i="58"/>
  <c r="X41" i="58"/>
  <c r="U41" i="58"/>
  <c r="R41" i="58"/>
  <c r="O41" i="58"/>
  <c r="AF40" i="58"/>
  <c r="AG40" i="58" s="1"/>
  <c r="AH40" i="58" s="1"/>
  <c r="AE40" i="58"/>
  <c r="AB40" i="58"/>
  <c r="X40" i="58"/>
  <c r="U40" i="58"/>
  <c r="R40" i="58"/>
  <c r="O40" i="58"/>
  <c r="AA40" i="58" s="1"/>
  <c r="AF39" i="58"/>
  <c r="AG39" i="58" s="1"/>
  <c r="AH39" i="58" s="1"/>
  <c r="AE39" i="58"/>
  <c r="AB39" i="58"/>
  <c r="X39" i="58"/>
  <c r="U39" i="58"/>
  <c r="R39" i="58"/>
  <c r="O39" i="58"/>
  <c r="AF38" i="58"/>
  <c r="AG38" i="58" s="1"/>
  <c r="AH38" i="58" s="1"/>
  <c r="AE38" i="58"/>
  <c r="AB38" i="58"/>
  <c r="X38" i="58"/>
  <c r="U38" i="58"/>
  <c r="R38" i="58"/>
  <c r="O38" i="58"/>
  <c r="AF37" i="58"/>
  <c r="AG37" i="58" s="1"/>
  <c r="AH37" i="58" s="1"/>
  <c r="AE37" i="58"/>
  <c r="AB37" i="58"/>
  <c r="X37" i="58"/>
  <c r="U37" i="58"/>
  <c r="R37" i="58"/>
  <c r="O37" i="58"/>
  <c r="AF36" i="58"/>
  <c r="AG36" i="58" s="1"/>
  <c r="AH36" i="58" s="1"/>
  <c r="AE36" i="58"/>
  <c r="AB36" i="58"/>
  <c r="X36" i="58"/>
  <c r="U36" i="58"/>
  <c r="R36" i="58"/>
  <c r="O36" i="58"/>
  <c r="AA36" i="58" s="1"/>
  <c r="AF30" i="58"/>
  <c r="AG30" i="58" s="1"/>
  <c r="AH30" i="58" s="1"/>
  <c r="AE30" i="58"/>
  <c r="AB30" i="58"/>
  <c r="X30" i="58"/>
  <c r="U30" i="58"/>
  <c r="R30" i="58"/>
  <c r="O30" i="58"/>
  <c r="AF29" i="58"/>
  <c r="AG29" i="58" s="1"/>
  <c r="AH29" i="58" s="1"/>
  <c r="AE29" i="58"/>
  <c r="AB29" i="58"/>
  <c r="X29" i="58"/>
  <c r="U29" i="58"/>
  <c r="R29" i="58"/>
  <c r="O29" i="58"/>
  <c r="AF28" i="58"/>
  <c r="AG28" i="58" s="1"/>
  <c r="AH28" i="58" s="1"/>
  <c r="AE28" i="58"/>
  <c r="AB28" i="58"/>
  <c r="X28" i="58"/>
  <c r="U28" i="58"/>
  <c r="R28" i="58"/>
  <c r="O28" i="58"/>
  <c r="H26" i="74"/>
  <c r="H52" i="74"/>
  <c r="H77" i="74" s="1"/>
  <c r="Z2" i="56"/>
  <c r="J74" i="41"/>
  <c r="L74" i="41" s="1"/>
  <c r="J72" i="41"/>
  <c r="L72" i="41" s="1"/>
  <c r="J70" i="41"/>
  <c r="L70" i="41" s="1"/>
  <c r="I74" i="41"/>
  <c r="I72" i="41"/>
  <c r="I70" i="41"/>
  <c r="G74" i="41"/>
  <c r="G72" i="41"/>
  <c r="G70" i="41"/>
  <c r="G68" i="41"/>
  <c r="B166" i="73"/>
  <c r="B168" i="73" s="1"/>
  <c r="B115" i="73"/>
  <c r="B120" i="73"/>
  <c r="B24" i="73"/>
  <c r="B23" i="73"/>
  <c r="B16" i="73"/>
  <c r="B18" i="73" s="1"/>
  <c r="B162" i="73"/>
  <c r="B179" i="73" s="1"/>
  <c r="E179" i="73" s="1"/>
  <c r="D187" i="73"/>
  <c r="E187" i="73" s="1"/>
  <c r="D185" i="73"/>
  <c r="E181" i="73"/>
  <c r="E180" i="73"/>
  <c r="E178" i="73"/>
  <c r="B165" i="73"/>
  <c r="B111" i="73"/>
  <c r="B128" i="73" s="1"/>
  <c r="E128" i="73" s="1"/>
  <c r="B61" i="73"/>
  <c r="B78" i="73" s="1"/>
  <c r="E78" i="73" s="1"/>
  <c r="B12" i="73"/>
  <c r="B29" i="73" s="1"/>
  <c r="E29" i="73" s="1"/>
  <c r="D136" i="73"/>
  <c r="E136" i="73" s="1"/>
  <c r="D134" i="73"/>
  <c r="E130" i="73"/>
  <c r="E129" i="73"/>
  <c r="E127" i="73"/>
  <c r="B117" i="73"/>
  <c r="B114" i="73"/>
  <c r="D86" i="73"/>
  <c r="E86" i="73" s="1"/>
  <c r="D84" i="73"/>
  <c r="E80" i="73"/>
  <c r="E79" i="73"/>
  <c r="E77" i="73"/>
  <c r="B73" i="73"/>
  <c r="B88" i="73" s="1"/>
  <c r="E88" i="73" s="1"/>
  <c r="B72" i="73"/>
  <c r="B85" i="73" s="1"/>
  <c r="E85" i="73" s="1"/>
  <c r="B67" i="73"/>
  <c r="B84" i="73" s="1"/>
  <c r="E84" i="73" s="1"/>
  <c r="B64" i="73"/>
  <c r="B70" i="73"/>
  <c r="D35" i="73"/>
  <c r="B15" i="73"/>
  <c r="E28" i="73"/>
  <c r="E30" i="73"/>
  <c r="E31" i="73"/>
  <c r="AA53" i="58" l="1"/>
  <c r="AA43" i="58"/>
  <c r="D37" i="73"/>
  <c r="E37" i="73" s="1"/>
  <c r="AA55" i="58"/>
  <c r="AA37" i="58"/>
  <c r="AA51" i="58"/>
  <c r="AA42" i="58"/>
  <c r="AA39" i="58"/>
  <c r="AA46" i="58"/>
  <c r="AA30" i="58"/>
  <c r="AA49" i="58"/>
  <c r="AA44" i="58"/>
  <c r="AA41" i="58"/>
  <c r="AA52" i="58"/>
  <c r="AA54" i="58"/>
  <c r="AA48" i="58"/>
  <c r="AA38" i="58"/>
  <c r="AA50" i="58"/>
  <c r="AA29" i="58"/>
  <c r="AA28" i="58"/>
  <c r="B185" i="73"/>
  <c r="E185" i="73" s="1"/>
  <c r="B173" i="73"/>
  <c r="B186" i="73" s="1"/>
  <c r="E186" i="73" s="1"/>
  <c r="B170" i="73"/>
  <c r="B174" i="73"/>
  <c r="B189" i="73" s="1"/>
  <c r="E189" i="73" s="1"/>
  <c r="B171" i="73"/>
  <c r="B131" i="73"/>
  <c r="B169" i="73"/>
  <c r="B182" i="73"/>
  <c r="B192" i="73"/>
  <c r="E192" i="73" s="1"/>
  <c r="B164" i="73"/>
  <c r="B195" i="73"/>
  <c r="E195" i="73" s="1"/>
  <c r="B184" i="73"/>
  <c r="E184" i="73" s="1"/>
  <c r="B123" i="73"/>
  <c r="B138" i="73" s="1"/>
  <c r="E138" i="73" s="1"/>
  <c r="B134" i="73"/>
  <c r="E134" i="73" s="1"/>
  <c r="B122" i="73"/>
  <c r="B135" i="73" s="1"/>
  <c r="E135" i="73" s="1"/>
  <c r="B39" i="73"/>
  <c r="E39" i="73" s="1"/>
  <c r="B36" i="73"/>
  <c r="E36" i="73" s="1"/>
  <c r="B21" i="73"/>
  <c r="B20" i="73"/>
  <c r="B22" i="73"/>
  <c r="B40" i="73" s="1"/>
  <c r="E40" i="73" s="1"/>
  <c r="B35" i="73"/>
  <c r="E35" i="73" s="1"/>
  <c r="B14" i="73"/>
  <c r="B45" i="73"/>
  <c r="E45" i="73" s="1"/>
  <c r="B42" i="73"/>
  <c r="E42" i="73" s="1"/>
  <c r="B32" i="73"/>
  <c r="B33" i="73" s="1"/>
  <c r="E33" i="73" s="1"/>
  <c r="E131" i="73"/>
  <c r="B132" i="73"/>
  <c r="E132" i="73" s="1"/>
  <c r="B141" i="73"/>
  <c r="E141" i="73" s="1"/>
  <c r="B113" i="73"/>
  <c r="B144" i="73"/>
  <c r="E144" i="73" s="1"/>
  <c r="B133" i="73"/>
  <c r="E133" i="73" s="1"/>
  <c r="B118" i="73"/>
  <c r="B119" i="73"/>
  <c r="B94" i="73"/>
  <c r="E94" i="73" s="1"/>
  <c r="B63" i="73"/>
  <c r="B81" i="73"/>
  <c r="B91" i="73"/>
  <c r="E91" i="73" s="1"/>
  <c r="B83" i="73"/>
  <c r="E83" i="73" s="1"/>
  <c r="B68" i="73"/>
  <c r="B69" i="73"/>
  <c r="B34" i="73"/>
  <c r="E34" i="73" s="1"/>
  <c r="F52" i="41"/>
  <c r="F40" i="41"/>
  <c r="F27" i="41"/>
  <c r="F14" i="41"/>
  <c r="AB508" i="41"/>
  <c r="AC508" i="41"/>
  <c r="W510" i="41"/>
  <c r="X510" i="41"/>
  <c r="Y510" i="41"/>
  <c r="Z510" i="41"/>
  <c r="AA510" i="41"/>
  <c r="AB510" i="41"/>
  <c r="AC510" i="41"/>
  <c r="V510" i="41"/>
  <c r="Y416" i="41"/>
  <c r="Y280" i="41"/>
  <c r="V508" i="41"/>
  <c r="G81" i="9" s="1"/>
  <c r="J81" i="9" s="1"/>
  <c r="W508" i="41"/>
  <c r="Y508" i="41"/>
  <c r="Z508" i="41"/>
  <c r="AA508" i="41"/>
  <c r="X508" i="41"/>
  <c r="I39" i="9"/>
  <c r="G50" i="1"/>
  <c r="G29" i="8"/>
  <c r="J15" i="8"/>
  <c r="J13" i="8"/>
  <c r="L15" i="8"/>
  <c r="O106" i="58"/>
  <c r="AA72" i="41"/>
  <c r="E32" i="73" l="1"/>
  <c r="B71" i="73"/>
  <c r="B183" i="73"/>
  <c r="E183" i="73" s="1"/>
  <c r="E182" i="73"/>
  <c r="B172" i="73"/>
  <c r="B190" i="73" s="1"/>
  <c r="E190" i="73" s="1"/>
  <c r="B121" i="73"/>
  <c r="B139" i="73" s="1"/>
  <c r="E139" i="73" s="1"/>
  <c r="E146" i="73" s="1"/>
  <c r="B82" i="73"/>
  <c r="E82" i="73" s="1"/>
  <c r="E81" i="73"/>
  <c r="B89" i="73"/>
  <c r="E89" i="73" s="1"/>
  <c r="E47" i="73"/>
  <c r="B49" i="73" s="1"/>
  <c r="AA539" i="41"/>
  <c r="Z539" i="41"/>
  <c r="Y539" i="41"/>
  <c r="X539" i="41"/>
  <c r="B53" i="73" l="1"/>
  <c r="I68" i="41"/>
  <c r="J68" i="41" s="1"/>
  <c r="L68" i="41" s="1"/>
  <c r="B51" i="73"/>
  <c r="E197" i="73"/>
  <c r="B150" i="73"/>
  <c r="B148" i="73"/>
  <c r="B152" i="73" s="1"/>
  <c r="E96" i="73"/>
  <c r="J29" i="34"/>
  <c r="I37" i="17"/>
  <c r="G27" i="17"/>
  <c r="G25" i="17"/>
  <c r="D38" i="72"/>
  <c r="D37" i="72"/>
  <c r="D36" i="72"/>
  <c r="D35" i="72"/>
  <c r="D34" i="72"/>
  <c r="D33" i="72"/>
  <c r="D32" i="72"/>
  <c r="D31" i="72"/>
  <c r="BP23" i="72"/>
  <c r="BJ20" i="72"/>
  <c r="BP21" i="72"/>
  <c r="BG20" i="72"/>
  <c r="BH20" i="72"/>
  <c r="BI20" i="72"/>
  <c r="D30" i="72"/>
  <c r="D29" i="72"/>
  <c r="D28" i="72"/>
  <c r="BC20" i="72"/>
  <c r="BD20" i="72"/>
  <c r="BE20" i="72"/>
  <c r="BF20" i="72"/>
  <c r="BC21" i="72"/>
  <c r="BD21" i="72"/>
  <c r="BB21" i="72"/>
  <c r="BB20" i="72"/>
  <c r="BP20" i="72" s="1"/>
  <c r="BP18" i="72"/>
  <c r="BP19" i="72"/>
  <c r="D25" i="72"/>
  <c r="E27" i="72"/>
  <c r="B201" i="73" l="1"/>
  <c r="B199" i="73"/>
  <c r="B203" i="73" s="1"/>
  <c r="B100" i="73"/>
  <c r="B98" i="73"/>
  <c r="B102" i="73" s="1"/>
  <c r="E28" i="72"/>
  <c r="E29" i="72" s="1"/>
  <c r="E30" i="72"/>
  <c r="E31" i="72" s="1"/>
  <c r="E32" i="72" s="1"/>
  <c r="E45" i="72"/>
  <c r="H45" i="72" s="1"/>
  <c r="E33" i="72"/>
  <c r="E34" i="72" s="1"/>
  <c r="E35" i="72" s="1"/>
  <c r="E36" i="72" s="1"/>
  <c r="E37" i="72" s="1"/>
  <c r="E38" i="72" s="1"/>
  <c r="E39" i="72" s="1"/>
  <c r="E40" i="72" s="1"/>
  <c r="E41" i="72" l="1"/>
  <c r="N152" i="71"/>
  <c r="N151" i="71"/>
  <c r="N150" i="71"/>
  <c r="N149" i="71"/>
  <c r="N146" i="71"/>
  <c r="N145" i="71"/>
  <c r="N144" i="71"/>
  <c r="N143" i="71"/>
  <c r="N140" i="71"/>
  <c r="N139" i="71"/>
  <c r="N138" i="71"/>
  <c r="N137" i="71"/>
  <c r="N134" i="71"/>
  <c r="N133" i="71"/>
  <c r="N132" i="71"/>
  <c r="N131" i="71"/>
  <c r="N128" i="71"/>
  <c r="I127" i="71"/>
  <c r="N127" i="71" s="1"/>
  <c r="E127" i="71"/>
  <c r="I126" i="71"/>
  <c r="N126" i="71" s="1"/>
  <c r="I125" i="71"/>
  <c r="N125" i="71" s="1"/>
  <c r="N120" i="71"/>
  <c r="N119" i="71"/>
  <c r="N118" i="71"/>
  <c r="N117" i="71"/>
  <c r="N114" i="71"/>
  <c r="N113" i="71"/>
  <c r="N112" i="71"/>
  <c r="N111" i="71"/>
  <c r="N108" i="71"/>
  <c r="N107" i="71"/>
  <c r="N106" i="71"/>
  <c r="N105" i="71"/>
  <c r="N102" i="71"/>
  <c r="N101" i="71"/>
  <c r="N100" i="71"/>
  <c r="N99" i="71"/>
  <c r="N96" i="71"/>
  <c r="N95" i="71"/>
  <c r="N94" i="71"/>
  <c r="N93" i="71"/>
  <c r="N90" i="71"/>
  <c r="N89" i="71"/>
  <c r="N88" i="71"/>
  <c r="N87" i="71"/>
  <c r="N84" i="71"/>
  <c r="N83" i="71"/>
  <c r="N82" i="71"/>
  <c r="N81" i="71"/>
  <c r="N78" i="71"/>
  <c r="N77" i="71"/>
  <c r="N76" i="71"/>
  <c r="N75" i="71"/>
  <c r="N72" i="71"/>
  <c r="N71" i="71"/>
  <c r="N70" i="71"/>
  <c r="N69" i="71"/>
  <c r="N66" i="71"/>
  <c r="I65" i="71"/>
  <c r="N65" i="71" s="1"/>
  <c r="N64" i="71"/>
  <c r="N63" i="71"/>
  <c r="N60" i="71"/>
  <c r="N59" i="71"/>
  <c r="I58" i="71"/>
  <c r="N58" i="71" s="1"/>
  <c r="N57" i="71"/>
  <c r="N54" i="71"/>
  <c r="N53" i="71"/>
  <c r="N52" i="71"/>
  <c r="N51" i="71"/>
  <c r="N48" i="71"/>
  <c r="N47" i="71"/>
  <c r="I46" i="71"/>
  <c r="N46" i="71" s="1"/>
  <c r="N45" i="71"/>
  <c r="N42" i="71"/>
  <c r="N41" i="71"/>
  <c r="I40" i="71"/>
  <c r="N40" i="71" s="1"/>
  <c r="N39" i="71"/>
  <c r="L31" i="71"/>
  <c r="N31" i="71" s="1"/>
  <c r="L30" i="71"/>
  <c r="N30" i="71" s="1"/>
  <c r="N28" i="71"/>
  <c r="L27" i="71"/>
  <c r="L26" i="71"/>
  <c r="L24" i="71"/>
  <c r="N170" i="70"/>
  <c r="N169" i="70"/>
  <c r="N168" i="70"/>
  <c r="N167" i="70"/>
  <c r="N164" i="70"/>
  <c r="N163" i="70"/>
  <c r="N162" i="70"/>
  <c r="N161" i="70"/>
  <c r="N158" i="70"/>
  <c r="N157" i="70"/>
  <c r="N156" i="70"/>
  <c r="N155" i="70"/>
  <c r="N152" i="70"/>
  <c r="N151" i="70"/>
  <c r="N150" i="70"/>
  <c r="N149" i="70"/>
  <c r="N146" i="70"/>
  <c r="I145" i="70"/>
  <c r="N145" i="70" s="1"/>
  <c r="E145" i="70"/>
  <c r="I144" i="70"/>
  <c r="N144" i="70" s="1"/>
  <c r="I143" i="70"/>
  <c r="N143" i="70" s="1"/>
  <c r="N138" i="70"/>
  <c r="N137" i="70"/>
  <c r="N136" i="70"/>
  <c r="N135" i="70"/>
  <c r="N132" i="70"/>
  <c r="N131" i="70"/>
  <c r="N130" i="70"/>
  <c r="N129" i="70"/>
  <c r="N126" i="70"/>
  <c r="N125" i="70"/>
  <c r="N124" i="70"/>
  <c r="N123" i="70"/>
  <c r="N120" i="70"/>
  <c r="N119" i="70"/>
  <c r="N118" i="70"/>
  <c r="N117" i="70"/>
  <c r="N114" i="70"/>
  <c r="N113" i="70"/>
  <c r="N112" i="70"/>
  <c r="N111" i="70"/>
  <c r="N108" i="70"/>
  <c r="N107" i="70"/>
  <c r="N106" i="70"/>
  <c r="N105" i="70"/>
  <c r="N102" i="70"/>
  <c r="N101" i="70"/>
  <c r="N100" i="70"/>
  <c r="N99" i="70"/>
  <c r="N96" i="70"/>
  <c r="N95" i="70"/>
  <c r="N94" i="70"/>
  <c r="N93" i="70"/>
  <c r="N90" i="70"/>
  <c r="N89" i="70"/>
  <c r="N88" i="70"/>
  <c r="N87" i="70"/>
  <c r="N84" i="70"/>
  <c r="I83" i="70"/>
  <c r="N83" i="70" s="1"/>
  <c r="N82" i="70"/>
  <c r="N81" i="70"/>
  <c r="N78" i="70"/>
  <c r="N77" i="70"/>
  <c r="N76" i="70"/>
  <c r="I76" i="70"/>
  <c r="N75" i="70"/>
  <c r="N72" i="70"/>
  <c r="N71" i="70"/>
  <c r="N70" i="70"/>
  <c r="N69" i="70"/>
  <c r="N66" i="70"/>
  <c r="N65" i="70"/>
  <c r="I64" i="70"/>
  <c r="N64" i="70" s="1"/>
  <c r="N63" i="70"/>
  <c r="N60" i="70"/>
  <c r="N59" i="70"/>
  <c r="I58" i="70"/>
  <c r="N58" i="70" s="1"/>
  <c r="N57" i="70"/>
  <c r="N46" i="70"/>
  <c r="L39" i="70"/>
  <c r="L21" i="71" s="1"/>
  <c r="N28" i="70"/>
  <c r="N27" i="70"/>
  <c r="N26" i="70"/>
  <c r="N25" i="70"/>
  <c r="L19" i="70"/>
  <c r="L37" i="70" s="1"/>
  <c r="L19" i="71" s="1"/>
  <c r="E150" i="69"/>
  <c r="G134" i="69"/>
  <c r="F134" i="69"/>
  <c r="I134" i="69" s="1"/>
  <c r="N134" i="69" s="1"/>
  <c r="G133" i="69"/>
  <c r="F133" i="69"/>
  <c r="I133" i="69" s="1"/>
  <c r="N133" i="69" s="1"/>
  <c r="S134" i="69" s="1"/>
  <c r="L132" i="69"/>
  <c r="L131" i="69"/>
  <c r="L130" i="69"/>
  <c r="G129" i="69"/>
  <c r="I129" i="69" s="1"/>
  <c r="G128" i="69"/>
  <c r="I128" i="69" s="1"/>
  <c r="N128" i="69" s="1"/>
  <c r="L127" i="69"/>
  <c r="L126" i="69"/>
  <c r="G125" i="69"/>
  <c r="F125" i="69"/>
  <c r="G124" i="69"/>
  <c r="F124" i="69"/>
  <c r="I124" i="69" s="1"/>
  <c r="N124" i="69" s="1"/>
  <c r="L123" i="69"/>
  <c r="L122" i="69"/>
  <c r="G122" i="69"/>
  <c r="F122" i="69"/>
  <c r="I122" i="69" s="1"/>
  <c r="N122" i="69" s="1"/>
  <c r="G121" i="69"/>
  <c r="F121" i="69"/>
  <c r="I121" i="69" s="1"/>
  <c r="N121" i="69" s="1"/>
  <c r="L120" i="69"/>
  <c r="G119" i="69"/>
  <c r="F119" i="69"/>
  <c r="E119" i="69"/>
  <c r="I119" i="69" s="1"/>
  <c r="G118" i="69"/>
  <c r="F118" i="69"/>
  <c r="E118" i="69"/>
  <c r="I118" i="69" s="1"/>
  <c r="L117" i="69"/>
  <c r="L116" i="69"/>
  <c r="G115" i="69"/>
  <c r="F115" i="69"/>
  <c r="I115" i="69" s="1"/>
  <c r="N115" i="69" s="1"/>
  <c r="G107" i="69"/>
  <c r="F107" i="69"/>
  <c r="I107" i="69" s="1"/>
  <c r="N107" i="69" s="1"/>
  <c r="G106" i="69"/>
  <c r="F106" i="69"/>
  <c r="L102" i="69"/>
  <c r="L129" i="69" s="1"/>
  <c r="G102" i="69"/>
  <c r="I102" i="69" s="1"/>
  <c r="N102" i="69" s="1"/>
  <c r="L101" i="69"/>
  <c r="L128" i="69" s="1"/>
  <c r="G101" i="69"/>
  <c r="I101" i="69" s="1"/>
  <c r="N101" i="69" s="1"/>
  <c r="G98" i="69"/>
  <c r="F98" i="69"/>
  <c r="I98" i="69" s="1"/>
  <c r="L97" i="69"/>
  <c r="L124" i="69" s="1"/>
  <c r="G97" i="69"/>
  <c r="F97" i="69"/>
  <c r="I97" i="69" s="1"/>
  <c r="N97" i="69" s="1"/>
  <c r="L95" i="69"/>
  <c r="G95" i="69"/>
  <c r="F95" i="69"/>
  <c r="I95" i="69" s="1"/>
  <c r="N95" i="69" s="1"/>
  <c r="G94" i="69"/>
  <c r="F94" i="69"/>
  <c r="I94" i="69" s="1"/>
  <c r="N94" i="69" s="1"/>
  <c r="G92" i="69"/>
  <c r="F92" i="69"/>
  <c r="E92" i="69"/>
  <c r="G91" i="69"/>
  <c r="F91" i="69"/>
  <c r="E91" i="69"/>
  <c r="G88" i="69"/>
  <c r="F88" i="69"/>
  <c r="I88" i="69" s="1"/>
  <c r="N88" i="69" s="1"/>
  <c r="F80" i="69"/>
  <c r="L79" i="69"/>
  <c r="L106" i="69" s="1"/>
  <c r="L133" i="69" s="1"/>
  <c r="F79" i="69"/>
  <c r="L75" i="69"/>
  <c r="L74" i="69"/>
  <c r="L71" i="69"/>
  <c r="L98" i="69" s="1"/>
  <c r="L125" i="69" s="1"/>
  <c r="F71" i="69"/>
  <c r="L70" i="69"/>
  <c r="F70" i="69"/>
  <c r="L68" i="69"/>
  <c r="F68" i="69"/>
  <c r="L67" i="69"/>
  <c r="L94" i="69" s="1"/>
  <c r="L121" i="69" s="1"/>
  <c r="F67" i="69"/>
  <c r="F65" i="69"/>
  <c r="F64" i="69"/>
  <c r="E64" i="69"/>
  <c r="E65" i="69" s="1"/>
  <c r="L61" i="69"/>
  <c r="L88" i="69" s="1"/>
  <c r="L115" i="69" s="1"/>
  <c r="F61" i="69"/>
  <c r="L53" i="69"/>
  <c r="F53" i="69"/>
  <c r="L52" i="69"/>
  <c r="F52" i="69"/>
  <c r="L51" i="69"/>
  <c r="L50" i="69"/>
  <c r="L49" i="69"/>
  <c r="L48" i="69"/>
  <c r="L47" i="69"/>
  <c r="L46" i="69"/>
  <c r="L45" i="69"/>
  <c r="L44" i="69"/>
  <c r="F44" i="69"/>
  <c r="L43" i="69"/>
  <c r="F43" i="69"/>
  <c r="L42" i="69"/>
  <c r="L41" i="69"/>
  <c r="F41" i="69"/>
  <c r="L40" i="69"/>
  <c r="F40" i="69"/>
  <c r="L39" i="69"/>
  <c r="F38" i="69"/>
  <c r="F37" i="69"/>
  <c r="E37" i="69"/>
  <c r="E38" i="69" s="1"/>
  <c r="L34" i="69"/>
  <c r="F34" i="69"/>
  <c r="F26" i="69"/>
  <c r="F25" i="69"/>
  <c r="L21" i="69"/>
  <c r="F17" i="69"/>
  <c r="F16" i="69"/>
  <c r="F14" i="69"/>
  <c r="F13" i="69"/>
  <c r="L11" i="69"/>
  <c r="L65" i="69" s="1"/>
  <c r="L92" i="69" s="1"/>
  <c r="L119" i="69" s="1"/>
  <c r="F11" i="69"/>
  <c r="E11" i="69"/>
  <c r="L10" i="69"/>
  <c r="L64" i="69" s="1"/>
  <c r="L91" i="69" s="1"/>
  <c r="L118" i="69" s="1"/>
  <c r="F10" i="69"/>
  <c r="E10" i="69"/>
  <c r="F7" i="69"/>
  <c r="G266" i="68"/>
  <c r="I266" i="68" s="1"/>
  <c r="G264" i="68"/>
  <c r="F264" i="68"/>
  <c r="I264" i="68" s="1"/>
  <c r="N264" i="68" s="1"/>
  <c r="L263" i="68"/>
  <c r="G263" i="68"/>
  <c r="F263" i="68"/>
  <c r="I263" i="68" s="1"/>
  <c r="N263" i="68" s="1"/>
  <c r="L262" i="68"/>
  <c r="G261" i="68"/>
  <c r="I261" i="68" s="1"/>
  <c r="G260" i="68"/>
  <c r="I260" i="68" s="1"/>
  <c r="I257" i="68"/>
  <c r="I256" i="68"/>
  <c r="N256" i="68" s="1"/>
  <c r="L254" i="68"/>
  <c r="I253" i="68"/>
  <c r="N253" i="68" s="1"/>
  <c r="I252" i="68"/>
  <c r="N252" i="68" s="1"/>
  <c r="G249" i="68"/>
  <c r="F249" i="68"/>
  <c r="I249" i="68" s="1"/>
  <c r="G248" i="68"/>
  <c r="F248" i="68"/>
  <c r="I248" i="68" s="1"/>
  <c r="G247" i="68"/>
  <c r="I247" i="68" s="1"/>
  <c r="G245" i="68"/>
  <c r="F245" i="68"/>
  <c r="I245" i="68" s="1"/>
  <c r="G244" i="68"/>
  <c r="F244" i="68"/>
  <c r="I244" i="68" s="1"/>
  <c r="N244" i="68" s="1"/>
  <c r="G242" i="68"/>
  <c r="G241" i="68"/>
  <c r="F241" i="68"/>
  <c r="F242" i="68" s="1"/>
  <c r="L240" i="68"/>
  <c r="L239" i="68"/>
  <c r="G238" i="68"/>
  <c r="E238" i="68"/>
  <c r="I238" i="68" s="1"/>
  <c r="G237" i="68"/>
  <c r="F237" i="68"/>
  <c r="F238" i="68" s="1"/>
  <c r="I229" i="68"/>
  <c r="N229" i="68" s="1"/>
  <c r="G228" i="68"/>
  <c r="G226" i="68"/>
  <c r="F226" i="68"/>
  <c r="I226" i="68" s="1"/>
  <c r="N226" i="68" s="1"/>
  <c r="G225" i="68"/>
  <c r="F225" i="68"/>
  <c r="I225" i="68" s="1"/>
  <c r="N225" i="68" s="1"/>
  <c r="G223" i="68"/>
  <c r="I223" i="68" s="1"/>
  <c r="G222" i="68"/>
  <c r="I222" i="68" s="1"/>
  <c r="L221" i="68"/>
  <c r="L259" i="68" s="1"/>
  <c r="L220" i="68"/>
  <c r="L258" i="68" s="1"/>
  <c r="G219" i="68"/>
  <c r="I219" i="68" s="1"/>
  <c r="N219" i="68" s="1"/>
  <c r="G218" i="68"/>
  <c r="I218" i="68" s="1"/>
  <c r="N218" i="68" s="1"/>
  <c r="L217" i="68"/>
  <c r="L255" i="68" s="1"/>
  <c r="L216" i="68"/>
  <c r="G215" i="68"/>
  <c r="I215" i="68" s="1"/>
  <c r="G214" i="68"/>
  <c r="I214" i="68" s="1"/>
  <c r="L213" i="68"/>
  <c r="L251" i="68" s="1"/>
  <c r="L212" i="68"/>
  <c r="L250" i="68" s="1"/>
  <c r="G211" i="68"/>
  <c r="I211" i="68" s="1"/>
  <c r="F211" i="68"/>
  <c r="G210" i="68"/>
  <c r="F210" i="68"/>
  <c r="I210" i="68" s="1"/>
  <c r="N210" i="68" s="1"/>
  <c r="G209" i="68"/>
  <c r="F209" i="68"/>
  <c r="I209" i="68" s="1"/>
  <c r="L208" i="68"/>
  <c r="L246" i="68" s="1"/>
  <c r="G207" i="68"/>
  <c r="I207" i="68" s="1"/>
  <c r="F207" i="68"/>
  <c r="G206" i="68"/>
  <c r="F206" i="68"/>
  <c r="I206" i="68" s="1"/>
  <c r="N206" i="68" s="1"/>
  <c r="L205" i="68"/>
  <c r="L243" i="68" s="1"/>
  <c r="G204" i="68"/>
  <c r="F204" i="68"/>
  <c r="G203" i="68"/>
  <c r="F203" i="68"/>
  <c r="L202" i="68"/>
  <c r="L201" i="68"/>
  <c r="G200" i="68"/>
  <c r="F200" i="68"/>
  <c r="E200" i="68"/>
  <c r="I200" i="68" s="1"/>
  <c r="G199" i="68"/>
  <c r="I199" i="68" s="1"/>
  <c r="F199" i="68"/>
  <c r="I191" i="68"/>
  <c r="N191" i="68" s="1"/>
  <c r="G190" i="68"/>
  <c r="I190" i="68" s="1"/>
  <c r="N190" i="68" s="1"/>
  <c r="U191" i="68" s="1"/>
  <c r="G188" i="68"/>
  <c r="F188" i="68"/>
  <c r="I188" i="68" s="1"/>
  <c r="N188" i="68" s="1"/>
  <c r="G187" i="68"/>
  <c r="F187" i="68"/>
  <c r="I187" i="68" s="1"/>
  <c r="G185" i="68"/>
  <c r="I185" i="68" s="1"/>
  <c r="G184" i="68"/>
  <c r="I184" i="68" s="1"/>
  <c r="G181" i="68"/>
  <c r="I181" i="68" s="1"/>
  <c r="G180" i="68"/>
  <c r="I180" i="68" s="1"/>
  <c r="N180" i="68" s="1"/>
  <c r="G177" i="68"/>
  <c r="I177" i="68" s="1"/>
  <c r="G176" i="68"/>
  <c r="I176" i="68" s="1"/>
  <c r="G173" i="68"/>
  <c r="F173" i="68"/>
  <c r="I173" i="68" s="1"/>
  <c r="N173" i="68" s="1"/>
  <c r="G172" i="68"/>
  <c r="F172" i="68"/>
  <c r="I172" i="68" s="1"/>
  <c r="N172" i="68" s="1"/>
  <c r="G171" i="68"/>
  <c r="F171" i="68"/>
  <c r="I171" i="68" s="1"/>
  <c r="G169" i="68"/>
  <c r="F169" i="68"/>
  <c r="I169" i="68" s="1"/>
  <c r="N169" i="68" s="1"/>
  <c r="G168" i="68"/>
  <c r="F168" i="68"/>
  <c r="I168" i="68" s="1"/>
  <c r="G166" i="68"/>
  <c r="F166" i="68"/>
  <c r="G165" i="68"/>
  <c r="F165" i="68"/>
  <c r="E162" i="68"/>
  <c r="G161" i="68"/>
  <c r="F161" i="68"/>
  <c r="F162" i="68" s="1"/>
  <c r="I153" i="68"/>
  <c r="N153" i="68" s="1"/>
  <c r="G152" i="68"/>
  <c r="I152" i="68" s="1"/>
  <c r="N152" i="68" s="1"/>
  <c r="U153" i="68" s="1"/>
  <c r="G150" i="68"/>
  <c r="F150" i="68"/>
  <c r="I150" i="68" s="1"/>
  <c r="N150" i="68" s="1"/>
  <c r="G149" i="68"/>
  <c r="F149" i="68"/>
  <c r="I149" i="68" s="1"/>
  <c r="N149" i="68" s="1"/>
  <c r="G147" i="68"/>
  <c r="I147" i="68" s="1"/>
  <c r="N147" i="68" s="1"/>
  <c r="G146" i="68"/>
  <c r="I146" i="68" s="1"/>
  <c r="G143" i="68"/>
  <c r="I143" i="68" s="1"/>
  <c r="G142" i="68"/>
  <c r="I142" i="68" s="1"/>
  <c r="N142" i="68" s="1"/>
  <c r="G139" i="68"/>
  <c r="I139" i="68" s="1"/>
  <c r="G138" i="68"/>
  <c r="I138" i="68" s="1"/>
  <c r="G135" i="68"/>
  <c r="F135" i="68"/>
  <c r="I135" i="68" s="1"/>
  <c r="G134" i="68"/>
  <c r="F134" i="68"/>
  <c r="I134" i="68" s="1"/>
  <c r="N134" i="68" s="1"/>
  <c r="G133" i="68"/>
  <c r="F133" i="68"/>
  <c r="I133" i="68" s="1"/>
  <c r="G131" i="68"/>
  <c r="F131" i="68"/>
  <c r="I131" i="68" s="1"/>
  <c r="G130" i="68"/>
  <c r="F130" i="68"/>
  <c r="I130" i="68" s="1"/>
  <c r="N130" i="68" s="1"/>
  <c r="G128" i="68"/>
  <c r="F128" i="68"/>
  <c r="G127" i="68"/>
  <c r="F127" i="68"/>
  <c r="E124" i="68"/>
  <c r="G123" i="68"/>
  <c r="F123" i="68"/>
  <c r="F124" i="68" s="1"/>
  <c r="I115" i="68"/>
  <c r="N115" i="68" s="1"/>
  <c r="G114" i="68"/>
  <c r="I114" i="68" s="1"/>
  <c r="N114" i="68" s="1"/>
  <c r="U114" i="68" s="1"/>
  <c r="L111" i="68"/>
  <c r="L150" i="68" s="1"/>
  <c r="G111" i="68"/>
  <c r="F111" i="68"/>
  <c r="I111" i="68" s="1"/>
  <c r="N111" i="68" s="1"/>
  <c r="G110" i="68"/>
  <c r="F110" i="68"/>
  <c r="I110" i="68" s="1"/>
  <c r="N110" i="68" s="1"/>
  <c r="I108" i="68"/>
  <c r="N108" i="68" s="1"/>
  <c r="G108" i="68"/>
  <c r="G107" i="68"/>
  <c r="I107" i="68" s="1"/>
  <c r="G104" i="68"/>
  <c r="I104" i="68" s="1"/>
  <c r="G103" i="68"/>
  <c r="I103" i="68" s="1"/>
  <c r="N103" i="68" s="1"/>
  <c r="G100" i="68"/>
  <c r="I100" i="68" s="1"/>
  <c r="N100" i="68" s="1"/>
  <c r="G99" i="68"/>
  <c r="I99" i="68" s="1"/>
  <c r="G96" i="68"/>
  <c r="F96" i="68"/>
  <c r="I96" i="68" s="1"/>
  <c r="N96" i="68" s="1"/>
  <c r="G95" i="68"/>
  <c r="F95" i="68"/>
  <c r="I95" i="68" s="1"/>
  <c r="G94" i="68"/>
  <c r="F94" i="68"/>
  <c r="I94" i="68" s="1"/>
  <c r="L92" i="68"/>
  <c r="L131" i="68" s="1"/>
  <c r="L169" i="68" s="1"/>
  <c r="L207" i="68" s="1"/>
  <c r="L245" i="68" s="1"/>
  <c r="G92" i="68"/>
  <c r="F92" i="68"/>
  <c r="I92" i="68" s="1"/>
  <c r="N92" i="68" s="1"/>
  <c r="G91" i="68"/>
  <c r="F91" i="68"/>
  <c r="I91" i="68" s="1"/>
  <c r="L89" i="68"/>
  <c r="L128" i="68" s="1"/>
  <c r="L166" i="68" s="1"/>
  <c r="L204" i="68" s="1"/>
  <c r="L242" i="68" s="1"/>
  <c r="G89" i="68"/>
  <c r="F89" i="68"/>
  <c r="G88" i="68"/>
  <c r="F88" i="68"/>
  <c r="L87" i="68"/>
  <c r="L86" i="68"/>
  <c r="L85" i="68"/>
  <c r="L124" i="68" s="1"/>
  <c r="L162" i="68" s="1"/>
  <c r="L200" i="68" s="1"/>
  <c r="L238" i="68" s="1"/>
  <c r="F85" i="68"/>
  <c r="E85" i="68"/>
  <c r="L84" i="68"/>
  <c r="L123" i="68" s="1"/>
  <c r="L161" i="68" s="1"/>
  <c r="L199" i="68" s="1"/>
  <c r="L237" i="68" s="1"/>
  <c r="I84" i="68"/>
  <c r="N84" i="68" s="1"/>
  <c r="G84" i="68"/>
  <c r="F84" i="68"/>
  <c r="L76" i="68"/>
  <c r="L115" i="68" s="1"/>
  <c r="L153" i="68" s="1"/>
  <c r="L191" i="68" s="1"/>
  <c r="L229" i="68" s="1"/>
  <c r="L267" i="68" s="1"/>
  <c r="N267" i="68" s="1"/>
  <c r="I76" i="68"/>
  <c r="N76" i="68" s="1"/>
  <c r="L75" i="68"/>
  <c r="L114" i="68" s="1"/>
  <c r="L152" i="68" s="1"/>
  <c r="L190" i="68" s="1"/>
  <c r="L228" i="68" s="1"/>
  <c r="G75" i="68"/>
  <c r="I75" i="68" s="1"/>
  <c r="N75" i="68" s="1"/>
  <c r="U75" i="68" s="1"/>
  <c r="G72" i="68"/>
  <c r="I72" i="68" s="1"/>
  <c r="N72" i="68" s="1"/>
  <c r="F72" i="68"/>
  <c r="L71" i="68"/>
  <c r="L110" i="68" s="1"/>
  <c r="L149" i="68" s="1"/>
  <c r="L187" i="68" s="1"/>
  <c r="G71" i="68"/>
  <c r="F71" i="68"/>
  <c r="I71" i="68" s="1"/>
  <c r="N71" i="68" s="1"/>
  <c r="L70" i="68"/>
  <c r="L69" i="68"/>
  <c r="L108" i="68" s="1"/>
  <c r="L147" i="68" s="1"/>
  <c r="L185" i="68" s="1"/>
  <c r="L223" i="68" s="1"/>
  <c r="L261" i="68" s="1"/>
  <c r="G69" i="68"/>
  <c r="I69" i="68" s="1"/>
  <c r="N69" i="68" s="1"/>
  <c r="L68" i="68"/>
  <c r="L107" i="68" s="1"/>
  <c r="L146" i="68" s="1"/>
  <c r="L184" i="68" s="1"/>
  <c r="L222" i="68" s="1"/>
  <c r="L260" i="68" s="1"/>
  <c r="G68" i="68"/>
  <c r="I68" i="68" s="1"/>
  <c r="N68" i="68" s="1"/>
  <c r="T72" i="68" s="1"/>
  <c r="I65" i="68"/>
  <c r="N65" i="68" s="1"/>
  <c r="G65" i="68"/>
  <c r="L64" i="68"/>
  <c r="L103" i="68" s="1"/>
  <c r="L142" i="68" s="1"/>
  <c r="L180" i="68" s="1"/>
  <c r="L218" i="68" s="1"/>
  <c r="L256" i="68" s="1"/>
  <c r="G64" i="68"/>
  <c r="I64" i="68" s="1"/>
  <c r="N64" i="68" s="1"/>
  <c r="L61" i="68"/>
  <c r="L100" i="68" s="1"/>
  <c r="L139" i="68" s="1"/>
  <c r="L177" i="68" s="1"/>
  <c r="L215" i="68" s="1"/>
  <c r="L253" i="68" s="1"/>
  <c r="G61" i="68"/>
  <c r="I61" i="68" s="1"/>
  <c r="N61" i="68" s="1"/>
  <c r="L60" i="68"/>
  <c r="L99" i="68" s="1"/>
  <c r="L138" i="68" s="1"/>
  <c r="L176" i="68" s="1"/>
  <c r="L214" i="68" s="1"/>
  <c r="L252" i="68" s="1"/>
  <c r="G60" i="68"/>
  <c r="I60" i="68" s="1"/>
  <c r="N60" i="68" s="1"/>
  <c r="L57" i="68"/>
  <c r="L96" i="68" s="1"/>
  <c r="L135" i="68" s="1"/>
  <c r="L173" i="68" s="1"/>
  <c r="L211" i="68" s="1"/>
  <c r="L249" i="68" s="1"/>
  <c r="G57" i="68"/>
  <c r="F57" i="68"/>
  <c r="I57" i="68" s="1"/>
  <c r="N57" i="68" s="1"/>
  <c r="L56" i="68"/>
  <c r="L95" i="68" s="1"/>
  <c r="L134" i="68" s="1"/>
  <c r="L172" i="68" s="1"/>
  <c r="L210" i="68" s="1"/>
  <c r="L248" i="68" s="1"/>
  <c r="G56" i="68"/>
  <c r="F56" i="68"/>
  <c r="I56" i="68" s="1"/>
  <c r="N56" i="68" s="1"/>
  <c r="L55" i="68"/>
  <c r="L94" i="68" s="1"/>
  <c r="L133" i="68" s="1"/>
  <c r="L171" i="68" s="1"/>
  <c r="L209" i="68" s="1"/>
  <c r="L247" i="68" s="1"/>
  <c r="G55" i="68"/>
  <c r="F55" i="68"/>
  <c r="I55" i="68" s="1"/>
  <c r="N55" i="68" s="1"/>
  <c r="L53" i="68"/>
  <c r="I53" i="68"/>
  <c r="N53" i="68" s="1"/>
  <c r="G53" i="68"/>
  <c r="F53" i="68"/>
  <c r="L52" i="68"/>
  <c r="L91" i="68" s="1"/>
  <c r="L130" i="68" s="1"/>
  <c r="L168" i="68" s="1"/>
  <c r="L206" i="68" s="1"/>
  <c r="L244" i="68" s="1"/>
  <c r="I52" i="68"/>
  <c r="N52" i="68" s="1"/>
  <c r="G52" i="68"/>
  <c r="F52" i="68"/>
  <c r="E52" i="68"/>
  <c r="E49" i="68" s="1"/>
  <c r="G50" i="68"/>
  <c r="F50" i="68"/>
  <c r="L49" i="68"/>
  <c r="L88" i="68" s="1"/>
  <c r="L127" i="68" s="1"/>
  <c r="L165" i="68" s="1"/>
  <c r="L203" i="68" s="1"/>
  <c r="L241" i="68" s="1"/>
  <c r="G49" i="68"/>
  <c r="F49" i="68"/>
  <c r="G46" i="68"/>
  <c r="E46" i="68"/>
  <c r="I46" i="68" s="1"/>
  <c r="N46" i="68" s="1"/>
  <c r="L45" i="68"/>
  <c r="G45" i="68"/>
  <c r="F45" i="68"/>
  <c r="F46" i="68" s="1"/>
  <c r="F34" i="68"/>
  <c r="F33" i="68"/>
  <c r="L27" i="68"/>
  <c r="L65" i="68" s="1"/>
  <c r="L104" i="68" s="1"/>
  <c r="L143" i="68" s="1"/>
  <c r="L181" i="68" s="1"/>
  <c r="L219" i="68" s="1"/>
  <c r="L257" i="68" s="1"/>
  <c r="L23" i="68"/>
  <c r="F19" i="68"/>
  <c r="F18" i="68"/>
  <c r="F17" i="68"/>
  <c r="F15" i="68"/>
  <c r="F14" i="68"/>
  <c r="F12" i="68"/>
  <c r="E12" i="68"/>
  <c r="F11" i="68"/>
  <c r="E11" i="68"/>
  <c r="G8" i="68"/>
  <c r="E8" i="68"/>
  <c r="L7" i="68"/>
  <c r="F7" i="68"/>
  <c r="F8" i="68" s="1"/>
  <c r="I125" i="69" l="1"/>
  <c r="I91" i="69"/>
  <c r="I92" i="69"/>
  <c r="N92" i="69" s="1"/>
  <c r="I106" i="69"/>
  <c r="N106" i="69" s="1"/>
  <c r="S107" i="69" s="1"/>
  <c r="N238" i="68"/>
  <c r="N95" i="68"/>
  <c r="N199" i="68"/>
  <c r="N209" i="68"/>
  <c r="N222" i="68"/>
  <c r="N261" i="68"/>
  <c r="N260" i="68"/>
  <c r="T264" i="68" s="1"/>
  <c r="N200" i="68"/>
  <c r="N223" i="68"/>
  <c r="S257" i="68"/>
  <c r="N131" i="68"/>
  <c r="N94" i="68"/>
  <c r="I49" i="68"/>
  <c r="N49" i="68" s="1"/>
  <c r="E50" i="68"/>
  <c r="I50" i="68" s="1"/>
  <c r="N50" i="68" s="1"/>
  <c r="N172" i="70"/>
  <c r="N54" i="70" s="1"/>
  <c r="N171" i="68"/>
  <c r="N207" i="68"/>
  <c r="N257" i="68"/>
  <c r="N135" i="68"/>
  <c r="N176" i="68"/>
  <c r="N245" i="68"/>
  <c r="N125" i="69"/>
  <c r="S65" i="68"/>
  <c r="N99" i="68"/>
  <c r="N177" i="68"/>
  <c r="N118" i="69"/>
  <c r="N154" i="71"/>
  <c r="N36" i="71" s="1"/>
  <c r="N133" i="68"/>
  <c r="N138" i="68"/>
  <c r="N211" i="68"/>
  <c r="N247" i="68"/>
  <c r="N98" i="69"/>
  <c r="N139" i="68"/>
  <c r="N181" i="68"/>
  <c r="N248" i="68"/>
  <c r="I8" i="68"/>
  <c r="N8" i="68" s="1"/>
  <c r="N228" i="68"/>
  <c r="U229" i="68" s="1"/>
  <c r="L266" i="68"/>
  <c r="N104" i="68"/>
  <c r="N184" i="68"/>
  <c r="N266" i="68"/>
  <c r="U267" i="68" s="1"/>
  <c r="N119" i="69"/>
  <c r="N107" i="68"/>
  <c r="T111" i="68" s="1"/>
  <c r="N143" i="68"/>
  <c r="N185" i="68"/>
  <c r="N214" i="68"/>
  <c r="S219" i="68" s="1"/>
  <c r="N249" i="68"/>
  <c r="N91" i="69"/>
  <c r="N91" i="68"/>
  <c r="N146" i="68"/>
  <c r="T150" i="68" s="1"/>
  <c r="N168" i="68"/>
  <c r="N187" i="68"/>
  <c r="N215" i="68"/>
  <c r="N129" i="69"/>
  <c r="I45" i="68"/>
  <c r="N45" i="68" s="1"/>
  <c r="I123" i="68"/>
  <c r="N123" i="68" s="1"/>
  <c r="I161" i="68"/>
  <c r="N161" i="68" s="1"/>
  <c r="L37" i="69"/>
  <c r="E91" i="68"/>
  <c r="I237" i="68"/>
  <c r="N237" i="68" s="1"/>
  <c r="L38" i="69"/>
  <c r="R129" i="69" l="1"/>
  <c r="N109" i="69"/>
  <c r="N85" i="69" s="1"/>
  <c r="I25" i="8" s="1"/>
  <c r="E88" i="68"/>
  <c r="E130" i="68"/>
  <c r="T188" i="68"/>
  <c r="N136" i="69"/>
  <c r="N112" i="69" s="1"/>
  <c r="I24" i="8" s="1"/>
  <c r="R102" i="69"/>
  <c r="T226" i="68"/>
  <c r="R57" i="68"/>
  <c r="N78" i="68"/>
  <c r="N42" i="68" s="1"/>
  <c r="S181" i="68"/>
  <c r="S104" i="68"/>
  <c r="S143" i="68"/>
  <c r="E127" i="68" l="1"/>
  <c r="E168" i="68"/>
  <c r="I88" i="68"/>
  <c r="N88" i="68" s="1"/>
  <c r="E89" i="68"/>
  <c r="I89" i="68" s="1"/>
  <c r="N89" i="68" s="1"/>
  <c r="E165" i="68" l="1"/>
  <c r="E206" i="68"/>
  <c r="I127" i="68"/>
  <c r="N127" i="68" s="1"/>
  <c r="E128" i="68"/>
  <c r="I128" i="68" s="1"/>
  <c r="N128" i="68" s="1"/>
  <c r="E203" i="68" l="1"/>
  <c r="E244" i="68"/>
  <c r="E241" i="68" s="1"/>
  <c r="I165" i="68"/>
  <c r="N165" i="68" s="1"/>
  <c r="E166" i="68"/>
  <c r="I166" i="68" s="1"/>
  <c r="N166" i="68" s="1"/>
  <c r="E242" i="68" l="1"/>
  <c r="I242" i="68" s="1"/>
  <c r="N242" i="68" s="1"/>
  <c r="I241" i="68"/>
  <c r="N241" i="68" s="1"/>
  <c r="I203" i="68"/>
  <c r="N203" i="68" s="1"/>
  <c r="E204" i="68"/>
  <c r="I204" i="68" s="1"/>
  <c r="N204" i="68" s="1"/>
  <c r="N231" i="68" l="1"/>
  <c r="N196" i="68" s="1"/>
  <c r="R211" i="68"/>
  <c r="R249" i="68"/>
  <c r="N269" i="68"/>
  <c r="N234" i="68" s="1"/>
  <c r="L93" i="58" l="1"/>
  <c r="P90" i="58"/>
  <c r="AB26" i="58"/>
  <c r="AB27" i="58"/>
  <c r="AB31" i="58"/>
  <c r="AB32" i="58"/>
  <c r="AB33" i="58"/>
  <c r="O26" i="58"/>
  <c r="O27" i="58"/>
  <c r="O31" i="58"/>
  <c r="O32" i="58"/>
  <c r="O33" i="58"/>
  <c r="R33" i="58"/>
  <c r="U33" i="58"/>
  <c r="X33" i="58"/>
  <c r="AE33" i="58"/>
  <c r="AF33" i="58"/>
  <c r="AG33" i="58" s="1"/>
  <c r="AH33" i="58" s="1"/>
  <c r="R32" i="58"/>
  <c r="U32" i="58"/>
  <c r="X32" i="58"/>
  <c r="AE32" i="58"/>
  <c r="AF32" i="58"/>
  <c r="AG32" i="58" s="1"/>
  <c r="AH32" i="58" s="1"/>
  <c r="R31" i="58"/>
  <c r="U31" i="58"/>
  <c r="X31" i="58"/>
  <c r="AE31" i="58"/>
  <c r="AF31" i="58"/>
  <c r="AG31" i="58" s="1"/>
  <c r="AH31" i="58" s="1"/>
  <c r="R27" i="58"/>
  <c r="U27" i="58"/>
  <c r="X27" i="58"/>
  <c r="AE27" i="58"/>
  <c r="AF27" i="58"/>
  <c r="AG27" i="58" s="1"/>
  <c r="AH27" i="58" s="1"/>
  <c r="R26" i="58"/>
  <c r="U26" i="58"/>
  <c r="X26" i="58"/>
  <c r="AE26" i="58"/>
  <c r="AF26" i="58"/>
  <c r="AG26" i="58" s="1"/>
  <c r="AH26" i="58" s="1"/>
  <c r="AF25" i="58"/>
  <c r="AG25" i="58" s="1"/>
  <c r="AH25" i="58" s="1"/>
  <c r="AE25" i="58"/>
  <c r="AB25" i="58"/>
  <c r="X25" i="58"/>
  <c r="U25" i="58"/>
  <c r="R25" i="58"/>
  <c r="O25" i="58"/>
  <c r="AF24" i="58"/>
  <c r="AG24" i="58" s="1"/>
  <c r="AH24" i="58" s="1"/>
  <c r="AE24" i="58"/>
  <c r="AB24" i="58"/>
  <c r="X24" i="58"/>
  <c r="U24" i="58"/>
  <c r="R24" i="58"/>
  <c r="O24" i="58"/>
  <c r="AF23" i="58"/>
  <c r="AG23" i="58" s="1"/>
  <c r="AH23" i="58" s="1"/>
  <c r="AE23" i="58"/>
  <c r="AB23" i="58"/>
  <c r="X23" i="58"/>
  <c r="U23" i="58"/>
  <c r="R23" i="58"/>
  <c r="O23" i="58"/>
  <c r="AF22" i="58"/>
  <c r="AG22" i="58" s="1"/>
  <c r="AH22" i="58" s="1"/>
  <c r="AE22" i="58"/>
  <c r="AB22" i="58"/>
  <c r="X22" i="58"/>
  <c r="U22" i="58"/>
  <c r="R22" i="58"/>
  <c r="O22" i="58"/>
  <c r="AF21" i="58"/>
  <c r="AG21" i="58" s="1"/>
  <c r="AH21" i="58" s="1"/>
  <c r="AE21" i="58"/>
  <c r="AB21" i="58"/>
  <c r="X21" i="58"/>
  <c r="U21" i="58"/>
  <c r="R21" i="58"/>
  <c r="O21" i="58"/>
  <c r="AF20" i="58"/>
  <c r="AG20" i="58" s="1"/>
  <c r="AH20" i="58" s="1"/>
  <c r="AE20" i="58"/>
  <c r="AB20" i="58"/>
  <c r="X20" i="58"/>
  <c r="U20" i="58"/>
  <c r="R20" i="58"/>
  <c r="O20" i="58"/>
  <c r="AF19" i="58"/>
  <c r="AG19" i="58" s="1"/>
  <c r="AH19" i="58" s="1"/>
  <c r="AE19" i="58"/>
  <c r="AB19" i="58"/>
  <c r="X19" i="58"/>
  <c r="U19" i="58"/>
  <c r="R19" i="58"/>
  <c r="O19" i="58"/>
  <c r="AF18" i="58"/>
  <c r="AG18" i="58" s="1"/>
  <c r="AH18" i="58" s="1"/>
  <c r="AE18" i="58"/>
  <c r="AB18" i="58"/>
  <c r="X18" i="58"/>
  <c r="U18" i="58"/>
  <c r="R18" i="58"/>
  <c r="O18" i="58"/>
  <c r="AF17" i="58"/>
  <c r="AG17" i="58" s="1"/>
  <c r="AH17" i="58" s="1"/>
  <c r="AE17" i="58"/>
  <c r="AB17" i="58"/>
  <c r="X17" i="58"/>
  <c r="U17" i="58"/>
  <c r="R17" i="58"/>
  <c r="O17" i="58"/>
  <c r="AF16" i="58"/>
  <c r="AG16" i="58" s="1"/>
  <c r="AH16" i="58" s="1"/>
  <c r="AE16" i="58"/>
  <c r="AB16" i="58"/>
  <c r="X16" i="58"/>
  <c r="U16" i="58"/>
  <c r="R16" i="58"/>
  <c r="O16" i="58"/>
  <c r="AF15" i="58"/>
  <c r="AG15" i="58" s="1"/>
  <c r="AH15" i="58" s="1"/>
  <c r="AE15" i="58"/>
  <c r="AB15" i="58"/>
  <c r="X15" i="58"/>
  <c r="U15" i="58"/>
  <c r="R15" i="58"/>
  <c r="O15" i="58"/>
  <c r="AF14" i="58"/>
  <c r="AG14" i="58" s="1"/>
  <c r="AH14" i="58" s="1"/>
  <c r="AE14" i="58"/>
  <c r="AB14" i="58"/>
  <c r="X14" i="58"/>
  <c r="U14" i="58"/>
  <c r="R14" i="58"/>
  <c r="O14" i="58"/>
  <c r="AF13" i="58"/>
  <c r="AG13" i="58" s="1"/>
  <c r="AH13" i="58" s="1"/>
  <c r="AE13" i="58"/>
  <c r="AB13" i="58"/>
  <c r="X13" i="58"/>
  <c r="U13" i="58"/>
  <c r="R13" i="58"/>
  <c r="O13" i="58"/>
  <c r="AF12" i="58"/>
  <c r="AG12" i="58" s="1"/>
  <c r="AH12" i="58" s="1"/>
  <c r="AE12" i="58"/>
  <c r="AB12" i="58"/>
  <c r="X12" i="58"/>
  <c r="U12" i="58"/>
  <c r="R12" i="58"/>
  <c r="O12" i="58"/>
  <c r="AF11" i="58"/>
  <c r="AG11" i="58" s="1"/>
  <c r="AH11" i="58" s="1"/>
  <c r="AE11" i="58"/>
  <c r="AB11" i="58"/>
  <c r="X11" i="58"/>
  <c r="U11" i="58"/>
  <c r="R11" i="58"/>
  <c r="O11" i="58"/>
  <c r="AA26" i="58" l="1"/>
  <c r="AA11" i="58"/>
  <c r="D18" i="72"/>
  <c r="L30" i="55"/>
  <c r="AA16" i="58"/>
  <c r="AA14" i="58"/>
  <c r="AA32" i="58"/>
  <c r="AA18" i="58"/>
  <c r="AA33" i="58"/>
  <c r="AA31" i="58"/>
  <c r="AA27" i="58"/>
  <c r="AA25" i="58"/>
  <c r="AA22" i="58"/>
  <c r="AA23" i="58"/>
  <c r="AA21" i="58"/>
  <c r="AA19" i="58"/>
  <c r="AA13" i="58"/>
  <c r="AA12" i="58"/>
  <c r="AA20" i="58"/>
  <c r="AA17" i="58"/>
  <c r="AA15" i="58"/>
  <c r="AA24" i="58"/>
  <c r="P8" i="56"/>
  <c r="O7" i="56"/>
  <c r="N7" i="56"/>
  <c r="M7" i="56"/>
  <c r="L7" i="56"/>
  <c r="S6" i="56"/>
  <c r="R6" i="56"/>
  <c r="Q6" i="56"/>
  <c r="P6" i="56"/>
  <c r="N6" i="56"/>
  <c r="L6" i="56"/>
  <c r="L5" i="56"/>
  <c r="L13" i="9"/>
  <c r="L14" i="9"/>
  <c r="L15" i="9"/>
  <c r="L16" i="9"/>
  <c r="L23" i="9"/>
  <c r="L24" i="9"/>
  <c r="L27" i="9"/>
  <c r="L28" i="9"/>
  <c r="L30" i="9"/>
  <c r="L32" i="9"/>
  <c r="L33" i="9"/>
  <c r="L34" i="9"/>
  <c r="L35" i="9"/>
  <c r="L36" i="9"/>
  <c r="L37" i="9"/>
  <c r="L44" i="9"/>
  <c r="L45" i="9"/>
  <c r="L48" i="9"/>
  <c r="L49" i="9"/>
  <c r="L51" i="9"/>
  <c r="L55" i="9"/>
  <c r="L56" i="9"/>
  <c r="L57" i="9"/>
  <c r="I47" i="9"/>
  <c r="L107" i="56"/>
  <c r="L108" i="56"/>
  <c r="L12" i="56"/>
  <c r="L16" i="56"/>
  <c r="L17" i="56"/>
  <c r="L21" i="56"/>
  <c r="L22" i="56"/>
  <c r="L26" i="56"/>
  <c r="L27" i="56"/>
  <c r="L31" i="56"/>
  <c r="L32" i="56"/>
  <c r="L36" i="56"/>
  <c r="L37" i="56"/>
  <c r="L41" i="56"/>
  <c r="L42" i="56"/>
  <c r="L46" i="56"/>
  <c r="L47" i="56"/>
  <c r="L51" i="56"/>
  <c r="L52" i="56"/>
  <c r="L53" i="56"/>
  <c r="L65" i="56"/>
  <c r="L68" i="56"/>
  <c r="L71" i="56"/>
  <c r="L74" i="56"/>
  <c r="I56" i="56"/>
  <c r="I50" i="56"/>
  <c r="I45" i="56"/>
  <c r="I40" i="56"/>
  <c r="I35" i="56"/>
  <c r="I30" i="56"/>
  <c r="I25" i="56"/>
  <c r="I20" i="56"/>
  <c r="G45" i="56"/>
  <c r="G15" i="56"/>
  <c r="G20" i="56"/>
  <c r="G32" i="10"/>
  <c r="J32" i="10" s="1"/>
  <c r="L32" i="10" s="1"/>
  <c r="G3" i="56"/>
  <c r="B3" i="56"/>
  <c r="J2" i="56"/>
  <c r="H2" i="56"/>
  <c r="G2" i="56"/>
  <c r="B2" i="56"/>
  <c r="S112" i="56"/>
  <c r="R112" i="56"/>
  <c r="Q112" i="56"/>
  <c r="P112" i="56"/>
  <c r="O112" i="56"/>
  <c r="N112" i="56"/>
  <c r="N33" i="14" s="1"/>
  <c r="M112" i="56"/>
  <c r="M33" i="14" s="1"/>
  <c r="J110" i="56"/>
  <c r="L110" i="56" s="1"/>
  <c r="J109" i="56"/>
  <c r="L109" i="56" s="1"/>
  <c r="AT74" i="56"/>
  <c r="AS74" i="56"/>
  <c r="AR74" i="56"/>
  <c r="AQ74" i="56"/>
  <c r="AP74" i="56"/>
  <c r="AO74" i="56"/>
  <c r="AN74" i="56"/>
  <c r="AM74" i="56"/>
  <c r="AG74" i="56"/>
  <c r="AF74" i="56"/>
  <c r="AE74" i="56"/>
  <c r="AD74" i="56"/>
  <c r="AC74" i="56"/>
  <c r="AB74" i="56"/>
  <c r="AA74" i="56"/>
  <c r="AT73" i="56"/>
  <c r="AS73" i="56"/>
  <c r="AR73" i="56"/>
  <c r="AQ73" i="56"/>
  <c r="AP73" i="56"/>
  <c r="AO73" i="56"/>
  <c r="AN73" i="56"/>
  <c r="AM73" i="56"/>
  <c r="AG73" i="56"/>
  <c r="AF73" i="56"/>
  <c r="AE73" i="56"/>
  <c r="AD73" i="56"/>
  <c r="AC73" i="56"/>
  <c r="AB73" i="56"/>
  <c r="AA73" i="56"/>
  <c r="AT72" i="56"/>
  <c r="AS72" i="56"/>
  <c r="AR72" i="56"/>
  <c r="AQ72" i="56"/>
  <c r="AP72" i="56"/>
  <c r="AO72" i="56"/>
  <c r="AN72" i="56"/>
  <c r="AM72" i="56"/>
  <c r="AG72" i="56"/>
  <c r="AF72" i="56"/>
  <c r="AE72" i="56"/>
  <c r="AD72" i="56"/>
  <c r="AC72" i="56"/>
  <c r="AB72" i="56"/>
  <c r="AA72" i="56"/>
  <c r="AT71" i="56"/>
  <c r="AS71" i="56"/>
  <c r="AR71" i="56"/>
  <c r="AQ71" i="56"/>
  <c r="AP71" i="56"/>
  <c r="AO71" i="56"/>
  <c r="AN71" i="56"/>
  <c r="AG71" i="56"/>
  <c r="AF71" i="56"/>
  <c r="AE71" i="56"/>
  <c r="AD71" i="56"/>
  <c r="AC71" i="56"/>
  <c r="AB71" i="56"/>
  <c r="AA71" i="56"/>
  <c r="AT70" i="56"/>
  <c r="AS70" i="56"/>
  <c r="AR70" i="56"/>
  <c r="AQ70" i="56"/>
  <c r="AP70" i="56"/>
  <c r="AO70" i="56"/>
  <c r="AN70" i="56"/>
  <c r="AM70" i="56"/>
  <c r="AG70" i="56"/>
  <c r="AF70" i="56"/>
  <c r="AE70" i="56"/>
  <c r="AD70" i="56"/>
  <c r="AC70" i="56"/>
  <c r="AB70" i="56"/>
  <c r="AA70" i="56"/>
  <c r="AT69" i="56"/>
  <c r="AS69" i="56"/>
  <c r="AR69" i="56"/>
  <c r="AQ69" i="56"/>
  <c r="AP69" i="56"/>
  <c r="AO69" i="56"/>
  <c r="AN69" i="56"/>
  <c r="AG69" i="56"/>
  <c r="AF69" i="56"/>
  <c r="AE69" i="56"/>
  <c r="AD69" i="56"/>
  <c r="AC69" i="56"/>
  <c r="AB69" i="56"/>
  <c r="AA69" i="56"/>
  <c r="I69" i="56"/>
  <c r="AT68" i="56"/>
  <c r="AS68" i="56"/>
  <c r="AR68" i="56"/>
  <c r="AQ68" i="56"/>
  <c r="AP68" i="56"/>
  <c r="AO68" i="56"/>
  <c r="AN68" i="56"/>
  <c r="AG68" i="56"/>
  <c r="AF68" i="56"/>
  <c r="AE68" i="56"/>
  <c r="AD68" i="56"/>
  <c r="AC68" i="56"/>
  <c r="AB68" i="56"/>
  <c r="AA68" i="56"/>
  <c r="AT67" i="56"/>
  <c r="AS67" i="56"/>
  <c r="AR67" i="56"/>
  <c r="AQ67" i="56"/>
  <c r="AP67" i="56"/>
  <c r="AO67" i="56"/>
  <c r="AN67" i="56"/>
  <c r="AG67" i="56"/>
  <c r="AF67" i="56"/>
  <c r="AE67" i="56"/>
  <c r="AD67" i="56"/>
  <c r="AC67" i="56"/>
  <c r="AB67" i="56"/>
  <c r="AA67" i="56"/>
  <c r="AT66" i="56"/>
  <c r="AS66" i="56"/>
  <c r="AR66" i="56"/>
  <c r="AQ66" i="56"/>
  <c r="AP66" i="56"/>
  <c r="AO66" i="56"/>
  <c r="AN66" i="56"/>
  <c r="AG66" i="56"/>
  <c r="AF66" i="56"/>
  <c r="AE66" i="56"/>
  <c r="AD66" i="56"/>
  <c r="AC66" i="56"/>
  <c r="AB66" i="56"/>
  <c r="AA66" i="56"/>
  <c r="I66" i="56"/>
  <c r="J66" i="56" s="1"/>
  <c r="L66" i="56" s="1"/>
  <c r="AT65" i="56"/>
  <c r="AS65" i="56"/>
  <c r="AR65" i="56"/>
  <c r="AQ65" i="56"/>
  <c r="AP65" i="56"/>
  <c r="AO65" i="56"/>
  <c r="AN65" i="56"/>
  <c r="AG65" i="56"/>
  <c r="AF65" i="56"/>
  <c r="AE65" i="56"/>
  <c r="AD65" i="56"/>
  <c r="AC65" i="56"/>
  <c r="AB65" i="56"/>
  <c r="AA65" i="56"/>
  <c r="AT64" i="56"/>
  <c r="AS64" i="56"/>
  <c r="AR64" i="56"/>
  <c r="AQ64" i="56"/>
  <c r="AP64" i="56"/>
  <c r="AO64" i="56"/>
  <c r="AN64" i="56"/>
  <c r="AG64" i="56"/>
  <c r="AF64" i="56"/>
  <c r="AE64" i="56"/>
  <c r="AD64" i="56"/>
  <c r="AC64" i="56"/>
  <c r="AB64" i="56"/>
  <c r="AA64" i="56"/>
  <c r="AT63" i="56"/>
  <c r="AS63" i="56"/>
  <c r="AR63" i="56"/>
  <c r="AQ63" i="56"/>
  <c r="AP63" i="56"/>
  <c r="AO63" i="56"/>
  <c r="AN63" i="56"/>
  <c r="AG63" i="56"/>
  <c r="AF63" i="56"/>
  <c r="AE63" i="56"/>
  <c r="AD63" i="56"/>
  <c r="AC63" i="56"/>
  <c r="AB63" i="56"/>
  <c r="AA63" i="56"/>
  <c r="I63" i="56"/>
  <c r="J63" i="56" s="1"/>
  <c r="L63" i="56" s="1"/>
  <c r="AT62" i="56"/>
  <c r="AS62" i="56"/>
  <c r="AR62" i="56"/>
  <c r="AQ62" i="56"/>
  <c r="AP62" i="56"/>
  <c r="AO62" i="56"/>
  <c r="AN62" i="56"/>
  <c r="AG62" i="56"/>
  <c r="AF62" i="56"/>
  <c r="AE62" i="56"/>
  <c r="AD62" i="56"/>
  <c r="AC62" i="56"/>
  <c r="AB62" i="56"/>
  <c r="AA62" i="56"/>
  <c r="AT61" i="56"/>
  <c r="AS61" i="56"/>
  <c r="AR61" i="56"/>
  <c r="AQ61" i="56"/>
  <c r="AP61" i="56"/>
  <c r="AO61" i="56"/>
  <c r="AN61" i="56"/>
  <c r="AG61" i="56"/>
  <c r="AF61" i="56"/>
  <c r="AE61" i="56"/>
  <c r="AD61" i="56"/>
  <c r="AC61" i="56"/>
  <c r="AB61" i="56"/>
  <c r="AA61" i="56"/>
  <c r="AT60" i="56"/>
  <c r="AS60" i="56"/>
  <c r="AR60" i="56"/>
  <c r="AQ60" i="56"/>
  <c r="AP60" i="56"/>
  <c r="AO60" i="56"/>
  <c r="AN60" i="56"/>
  <c r="AG60" i="56"/>
  <c r="AF60" i="56"/>
  <c r="AE60" i="56"/>
  <c r="AD60" i="56"/>
  <c r="AC60" i="56"/>
  <c r="AB60" i="56"/>
  <c r="AA60" i="56"/>
  <c r="I60" i="56"/>
  <c r="AT59" i="56"/>
  <c r="AS59" i="56"/>
  <c r="AR59" i="56"/>
  <c r="AQ59" i="56"/>
  <c r="AP59" i="56"/>
  <c r="AO59" i="56"/>
  <c r="AN59" i="56"/>
  <c r="AG59" i="56"/>
  <c r="AF59" i="56"/>
  <c r="AE59" i="56"/>
  <c r="AD59" i="56"/>
  <c r="AC59" i="56"/>
  <c r="AB59" i="56"/>
  <c r="AA59" i="56"/>
  <c r="AT58" i="56"/>
  <c r="AS58" i="56"/>
  <c r="AR58" i="56"/>
  <c r="AQ58" i="56"/>
  <c r="AP58" i="56"/>
  <c r="AO58" i="56"/>
  <c r="AN58" i="56"/>
  <c r="AG58" i="56"/>
  <c r="AF58" i="56"/>
  <c r="AE58" i="56"/>
  <c r="AD58" i="56"/>
  <c r="AC58" i="56"/>
  <c r="AB58" i="56"/>
  <c r="AA58" i="56"/>
  <c r="AT57" i="56"/>
  <c r="AS57" i="56"/>
  <c r="AR57" i="56"/>
  <c r="AQ57" i="56"/>
  <c r="AP57" i="56"/>
  <c r="AO57" i="56"/>
  <c r="AN57" i="56"/>
  <c r="AG57" i="56"/>
  <c r="AF57" i="56"/>
  <c r="AE57" i="56"/>
  <c r="AD57" i="56"/>
  <c r="AC57" i="56"/>
  <c r="AB57" i="56"/>
  <c r="AA57" i="56"/>
  <c r="AT56" i="56"/>
  <c r="AS56" i="56"/>
  <c r="AR56" i="56"/>
  <c r="AQ56" i="56"/>
  <c r="AP56" i="56"/>
  <c r="AO56" i="56"/>
  <c r="AN56" i="56"/>
  <c r="AG56" i="56"/>
  <c r="AF56" i="56"/>
  <c r="AE56" i="56"/>
  <c r="AD56" i="56"/>
  <c r="AC56" i="56"/>
  <c r="AB56" i="56"/>
  <c r="AA56" i="56"/>
  <c r="AT55" i="56"/>
  <c r="AS55" i="56"/>
  <c r="AR55" i="56"/>
  <c r="AQ55" i="56"/>
  <c r="AP55" i="56"/>
  <c r="AO55" i="56"/>
  <c r="AN55" i="56"/>
  <c r="AG55" i="56"/>
  <c r="AF55" i="56"/>
  <c r="AE55" i="56"/>
  <c r="AD55" i="56"/>
  <c r="AC55" i="56"/>
  <c r="AB55" i="56"/>
  <c r="AA55" i="56"/>
  <c r="J55" i="56"/>
  <c r="L55" i="56" s="1"/>
  <c r="AT54" i="56"/>
  <c r="AS54" i="56"/>
  <c r="AR54" i="56"/>
  <c r="AQ54" i="56"/>
  <c r="AP54" i="56"/>
  <c r="AO54" i="56"/>
  <c r="AN54" i="56"/>
  <c r="AG54" i="56"/>
  <c r="AF54" i="56"/>
  <c r="AE54" i="56"/>
  <c r="AD54" i="56"/>
  <c r="AC54" i="56"/>
  <c r="AB54" i="56"/>
  <c r="AA54" i="56"/>
  <c r="I54" i="56"/>
  <c r="AT53" i="56"/>
  <c r="AS53" i="56"/>
  <c r="AR53" i="56"/>
  <c r="AQ53" i="56"/>
  <c r="AP53" i="56"/>
  <c r="AO53" i="56"/>
  <c r="AN53" i="56"/>
  <c r="AG53" i="56"/>
  <c r="AF53" i="56"/>
  <c r="AE53" i="56"/>
  <c r="AD53" i="56"/>
  <c r="AC53" i="56"/>
  <c r="AB53" i="56"/>
  <c r="AA53" i="56"/>
  <c r="AT52" i="56"/>
  <c r="AS52" i="56"/>
  <c r="AR52" i="56"/>
  <c r="AQ52" i="56"/>
  <c r="AP52" i="56"/>
  <c r="AO52" i="56"/>
  <c r="AN52" i="56"/>
  <c r="AG52" i="56"/>
  <c r="AF52" i="56"/>
  <c r="AE52" i="56"/>
  <c r="AD52" i="56"/>
  <c r="AC52" i="56"/>
  <c r="AB52" i="56"/>
  <c r="AA52" i="56"/>
  <c r="AT51" i="56"/>
  <c r="AS51" i="56"/>
  <c r="AR51" i="56"/>
  <c r="AQ51" i="56"/>
  <c r="AP51" i="56"/>
  <c r="AO51" i="56"/>
  <c r="AN51" i="56"/>
  <c r="AG51" i="56"/>
  <c r="AF51" i="56"/>
  <c r="AE51" i="56"/>
  <c r="AD51" i="56"/>
  <c r="AC51" i="56"/>
  <c r="AB51" i="56"/>
  <c r="AA51" i="56"/>
  <c r="AT50" i="56"/>
  <c r="AS50" i="56"/>
  <c r="AR50" i="56"/>
  <c r="AQ50" i="56"/>
  <c r="AP50" i="56"/>
  <c r="AO50" i="56"/>
  <c r="AN50" i="56"/>
  <c r="AG50" i="56"/>
  <c r="AF50" i="56"/>
  <c r="AE50" i="56"/>
  <c r="AD50" i="56"/>
  <c r="AC50" i="56"/>
  <c r="AB50" i="56"/>
  <c r="AA50" i="56"/>
  <c r="G50" i="56"/>
  <c r="AT49" i="56"/>
  <c r="AS49" i="56"/>
  <c r="AR49" i="56"/>
  <c r="AQ49" i="56"/>
  <c r="AP49" i="56"/>
  <c r="AO49" i="56"/>
  <c r="AN49" i="56"/>
  <c r="AG49" i="56"/>
  <c r="AF49" i="56"/>
  <c r="AE49" i="56"/>
  <c r="AD49" i="56"/>
  <c r="AC49" i="56"/>
  <c r="AB49" i="56"/>
  <c r="AA49" i="56"/>
  <c r="J49" i="56"/>
  <c r="L49" i="56" s="1"/>
  <c r="AT48" i="56"/>
  <c r="AS48" i="56"/>
  <c r="AR48" i="56"/>
  <c r="AQ48" i="56"/>
  <c r="AP48" i="56"/>
  <c r="AO48" i="56"/>
  <c r="AN48" i="56"/>
  <c r="AG48" i="56"/>
  <c r="AF48" i="56"/>
  <c r="AE48" i="56"/>
  <c r="AD48" i="56"/>
  <c r="AC48" i="56"/>
  <c r="AB48" i="56"/>
  <c r="AA48" i="56"/>
  <c r="I48" i="56"/>
  <c r="J48" i="56" s="1"/>
  <c r="L48" i="56" s="1"/>
  <c r="AT47" i="56"/>
  <c r="AS47" i="56"/>
  <c r="AR47" i="56"/>
  <c r="AQ47" i="56"/>
  <c r="AP47" i="56"/>
  <c r="AO47" i="56"/>
  <c r="AN47" i="56"/>
  <c r="AG47" i="56"/>
  <c r="AF47" i="56"/>
  <c r="AE47" i="56"/>
  <c r="AD47" i="56"/>
  <c r="AC47" i="56"/>
  <c r="AB47" i="56"/>
  <c r="AA47" i="56"/>
  <c r="AT46" i="56"/>
  <c r="AS46" i="56"/>
  <c r="AR46" i="56"/>
  <c r="AQ46" i="56"/>
  <c r="AP46" i="56"/>
  <c r="AO46" i="56"/>
  <c r="AN46" i="56"/>
  <c r="AG46" i="56"/>
  <c r="AF46" i="56"/>
  <c r="AE46" i="56"/>
  <c r="AD46" i="56"/>
  <c r="AC46" i="56"/>
  <c r="AB46" i="56"/>
  <c r="AA46" i="56"/>
  <c r="AT45" i="56"/>
  <c r="AS45" i="56"/>
  <c r="AR45" i="56"/>
  <c r="AQ45" i="56"/>
  <c r="AP45" i="56"/>
  <c r="AO45" i="56"/>
  <c r="AN45" i="56"/>
  <c r="AG45" i="56"/>
  <c r="AF45" i="56"/>
  <c r="AE45" i="56"/>
  <c r="AD45" i="56"/>
  <c r="AC45" i="56"/>
  <c r="AB45" i="56"/>
  <c r="AA45" i="56"/>
  <c r="AT44" i="56"/>
  <c r="AS44" i="56"/>
  <c r="AR44" i="56"/>
  <c r="AQ44" i="56"/>
  <c r="AP44" i="56"/>
  <c r="AO44" i="56"/>
  <c r="AN44" i="56"/>
  <c r="AG44" i="56"/>
  <c r="AF44" i="56"/>
  <c r="AE44" i="56"/>
  <c r="AD44" i="56"/>
  <c r="AC44" i="56"/>
  <c r="AB44" i="56"/>
  <c r="AA44" i="56"/>
  <c r="J44" i="56"/>
  <c r="L44" i="56" s="1"/>
  <c r="AT43" i="56"/>
  <c r="AS43" i="56"/>
  <c r="AR43" i="56"/>
  <c r="AQ43" i="56"/>
  <c r="AP43" i="56"/>
  <c r="AO43" i="56"/>
  <c r="AN43" i="56"/>
  <c r="AG43" i="56"/>
  <c r="AF43" i="56"/>
  <c r="AE43" i="56"/>
  <c r="AD43" i="56"/>
  <c r="AC43" i="56"/>
  <c r="AB43" i="56"/>
  <c r="AA43" i="56"/>
  <c r="I43" i="56"/>
  <c r="J43" i="56" s="1"/>
  <c r="L43" i="56" s="1"/>
  <c r="AT42" i="56"/>
  <c r="AS42" i="56"/>
  <c r="AR42" i="56"/>
  <c r="AQ42" i="56"/>
  <c r="AP42" i="56"/>
  <c r="AO42" i="56"/>
  <c r="AN42" i="56"/>
  <c r="AG42" i="56"/>
  <c r="AF42" i="56"/>
  <c r="AE42" i="56"/>
  <c r="AD42" i="56"/>
  <c r="AC42" i="56"/>
  <c r="AB42" i="56"/>
  <c r="AA42" i="56"/>
  <c r="AT41" i="56"/>
  <c r="AS41" i="56"/>
  <c r="AR41" i="56"/>
  <c r="AQ41" i="56"/>
  <c r="AP41" i="56"/>
  <c r="AO41" i="56"/>
  <c r="AN41" i="56"/>
  <c r="AG41" i="56"/>
  <c r="AF41" i="56"/>
  <c r="AE41" i="56"/>
  <c r="AD41" i="56"/>
  <c r="AC41" i="56"/>
  <c r="AB41" i="56"/>
  <c r="AA41" i="56"/>
  <c r="AT40" i="56"/>
  <c r="AS40" i="56"/>
  <c r="AR40" i="56"/>
  <c r="AQ40" i="56"/>
  <c r="AP40" i="56"/>
  <c r="AO40" i="56"/>
  <c r="AN40" i="56"/>
  <c r="AG40" i="56"/>
  <c r="AF40" i="56"/>
  <c r="AE40" i="56"/>
  <c r="AD40" i="56"/>
  <c r="AC40" i="56"/>
  <c r="AB40" i="56"/>
  <c r="AA40" i="56"/>
  <c r="G40" i="56"/>
  <c r="J40" i="56" s="1"/>
  <c r="L40" i="56" s="1"/>
  <c r="AT39" i="56"/>
  <c r="AS39" i="56"/>
  <c r="AR39" i="56"/>
  <c r="AQ39" i="56"/>
  <c r="AP39" i="56"/>
  <c r="AO39" i="56"/>
  <c r="AN39" i="56"/>
  <c r="AG39" i="56"/>
  <c r="AF39" i="56"/>
  <c r="AE39" i="56"/>
  <c r="AD39" i="56"/>
  <c r="AC39" i="56"/>
  <c r="AB39" i="56"/>
  <c r="AA39" i="56"/>
  <c r="J39" i="56"/>
  <c r="L39" i="56" s="1"/>
  <c r="AT38" i="56"/>
  <c r="AS38" i="56"/>
  <c r="AR38" i="56"/>
  <c r="AQ38" i="56"/>
  <c r="AP38" i="56"/>
  <c r="AO38" i="56"/>
  <c r="AN38" i="56"/>
  <c r="AG38" i="56"/>
  <c r="AF38" i="56"/>
  <c r="AE38" i="56"/>
  <c r="AD38" i="56"/>
  <c r="AC38" i="56"/>
  <c r="AB38" i="56"/>
  <c r="AA38" i="56"/>
  <c r="I38" i="56"/>
  <c r="J38" i="56" s="1"/>
  <c r="L38" i="56" s="1"/>
  <c r="AT37" i="56"/>
  <c r="AS37" i="56"/>
  <c r="AR37" i="56"/>
  <c r="AQ37" i="56"/>
  <c r="AP37" i="56"/>
  <c r="AO37" i="56"/>
  <c r="AN37" i="56"/>
  <c r="AG37" i="56"/>
  <c r="AF37" i="56"/>
  <c r="AE37" i="56"/>
  <c r="AD37" i="56"/>
  <c r="AC37" i="56"/>
  <c r="AB37" i="56"/>
  <c r="AA37" i="56"/>
  <c r="AT36" i="56"/>
  <c r="AS36" i="56"/>
  <c r="AR36" i="56"/>
  <c r="AQ36" i="56"/>
  <c r="AP36" i="56"/>
  <c r="AO36" i="56"/>
  <c r="AN36" i="56"/>
  <c r="AG36" i="56"/>
  <c r="AF36" i="56"/>
  <c r="AE36" i="56"/>
  <c r="AD36" i="56"/>
  <c r="AC36" i="56"/>
  <c r="AB36" i="56"/>
  <c r="AA36" i="56"/>
  <c r="AT35" i="56"/>
  <c r="AS35" i="56"/>
  <c r="AR35" i="56"/>
  <c r="AQ35" i="56"/>
  <c r="AP35" i="56"/>
  <c r="AO35" i="56"/>
  <c r="AN35" i="56"/>
  <c r="AG35" i="56"/>
  <c r="AF35" i="56"/>
  <c r="AE35" i="56"/>
  <c r="AD35" i="56"/>
  <c r="AC35" i="56"/>
  <c r="AB35" i="56"/>
  <c r="AA35" i="56"/>
  <c r="AT34" i="56"/>
  <c r="AS34" i="56"/>
  <c r="AR34" i="56"/>
  <c r="AQ34" i="56"/>
  <c r="AP34" i="56"/>
  <c r="AO34" i="56"/>
  <c r="AN34" i="56"/>
  <c r="AG34" i="56"/>
  <c r="AF34" i="56"/>
  <c r="AE34" i="56"/>
  <c r="AD34" i="56"/>
  <c r="AC34" i="56"/>
  <c r="AB34" i="56"/>
  <c r="AA34" i="56"/>
  <c r="J34" i="56"/>
  <c r="L34" i="56" s="1"/>
  <c r="AT33" i="56"/>
  <c r="AS33" i="56"/>
  <c r="AR33" i="56"/>
  <c r="AQ33" i="56"/>
  <c r="AP33" i="56"/>
  <c r="AO33" i="56"/>
  <c r="AN33" i="56"/>
  <c r="AG33" i="56"/>
  <c r="AF33" i="56"/>
  <c r="AE33" i="56"/>
  <c r="AD33" i="56"/>
  <c r="AC33" i="56"/>
  <c r="AB33" i="56"/>
  <c r="AA33" i="56"/>
  <c r="I33" i="56"/>
  <c r="AT32" i="56"/>
  <c r="AS32" i="56"/>
  <c r="AR32" i="56"/>
  <c r="AQ32" i="56"/>
  <c r="AP32" i="56"/>
  <c r="AO32" i="56"/>
  <c r="AN32" i="56"/>
  <c r="AG32" i="56"/>
  <c r="AF32" i="56"/>
  <c r="AE32" i="56"/>
  <c r="AD32" i="56"/>
  <c r="AC32" i="56"/>
  <c r="AB32" i="56"/>
  <c r="AA32" i="56"/>
  <c r="AT31" i="56"/>
  <c r="AS31" i="56"/>
  <c r="AR31" i="56"/>
  <c r="AQ31" i="56"/>
  <c r="AP31" i="56"/>
  <c r="AO31" i="56"/>
  <c r="AN31" i="56"/>
  <c r="AG31" i="56"/>
  <c r="AF31" i="56"/>
  <c r="AE31" i="56"/>
  <c r="AD31" i="56"/>
  <c r="AC31" i="56"/>
  <c r="AB31" i="56"/>
  <c r="AA31" i="56"/>
  <c r="AT30" i="56"/>
  <c r="AS30" i="56"/>
  <c r="AR30" i="56"/>
  <c r="AQ30" i="56"/>
  <c r="AP30" i="56"/>
  <c r="AO30" i="56"/>
  <c r="AN30" i="56"/>
  <c r="AG30" i="56"/>
  <c r="AF30" i="56"/>
  <c r="AE30" i="56"/>
  <c r="AD30" i="56"/>
  <c r="AC30" i="56"/>
  <c r="AB30" i="56"/>
  <c r="AA30" i="56"/>
  <c r="G30" i="56"/>
  <c r="AT29" i="56"/>
  <c r="AS29" i="56"/>
  <c r="AR29" i="56"/>
  <c r="AQ29" i="56"/>
  <c r="AP29" i="56"/>
  <c r="AO29" i="56"/>
  <c r="AN29" i="56"/>
  <c r="AG29" i="56"/>
  <c r="AF29" i="56"/>
  <c r="AE29" i="56"/>
  <c r="AD29" i="56"/>
  <c r="AC29" i="56"/>
  <c r="AB29" i="56"/>
  <c r="AA29" i="56"/>
  <c r="J29" i="56"/>
  <c r="L29" i="56" s="1"/>
  <c r="AT28" i="56"/>
  <c r="AS28" i="56"/>
  <c r="AR28" i="56"/>
  <c r="AQ28" i="56"/>
  <c r="AP28" i="56"/>
  <c r="AO28" i="56"/>
  <c r="AN28" i="56"/>
  <c r="AG28" i="56"/>
  <c r="AF28" i="56"/>
  <c r="AE28" i="56"/>
  <c r="AD28" i="56"/>
  <c r="AC28" i="56"/>
  <c r="AB28" i="56"/>
  <c r="AA28" i="56"/>
  <c r="I28" i="56"/>
  <c r="J28" i="56" s="1"/>
  <c r="L28" i="56" s="1"/>
  <c r="AT27" i="56"/>
  <c r="AS27" i="56"/>
  <c r="AR27" i="56"/>
  <c r="AQ27" i="56"/>
  <c r="AP27" i="56"/>
  <c r="AO27" i="56"/>
  <c r="AN27" i="56"/>
  <c r="AG27" i="56"/>
  <c r="AF27" i="56"/>
  <c r="AE27" i="56"/>
  <c r="AD27" i="56"/>
  <c r="AC27" i="56"/>
  <c r="AB27" i="56"/>
  <c r="AA27" i="56"/>
  <c r="AT26" i="56"/>
  <c r="AS26" i="56"/>
  <c r="AR26" i="56"/>
  <c r="AQ26" i="56"/>
  <c r="AP26" i="56"/>
  <c r="AO26" i="56"/>
  <c r="AN26" i="56"/>
  <c r="AG26" i="56"/>
  <c r="AF26" i="56"/>
  <c r="AE26" i="56"/>
  <c r="AD26" i="56"/>
  <c r="AC26" i="56"/>
  <c r="AB26" i="56"/>
  <c r="AA26" i="56"/>
  <c r="AT25" i="56"/>
  <c r="AS25" i="56"/>
  <c r="AR25" i="56"/>
  <c r="AQ25" i="56"/>
  <c r="AP25" i="56"/>
  <c r="AO25" i="56"/>
  <c r="AN25" i="56"/>
  <c r="AG25" i="56"/>
  <c r="AF25" i="56"/>
  <c r="AE25" i="56"/>
  <c r="AD25" i="56"/>
  <c r="AC25" i="56"/>
  <c r="AB25" i="56"/>
  <c r="AA25" i="56"/>
  <c r="AT24" i="56"/>
  <c r="AS24" i="56"/>
  <c r="AR24" i="56"/>
  <c r="AQ24" i="56"/>
  <c r="AP24" i="56"/>
  <c r="AO24" i="56"/>
  <c r="AN24" i="56"/>
  <c r="AG24" i="56"/>
  <c r="AF24" i="56"/>
  <c r="AE24" i="56"/>
  <c r="AD24" i="56"/>
  <c r="AC24" i="56"/>
  <c r="AB24" i="56"/>
  <c r="AA24" i="56"/>
  <c r="J24" i="56"/>
  <c r="L24" i="56" s="1"/>
  <c r="AT23" i="56"/>
  <c r="AS23" i="56"/>
  <c r="AR23" i="56"/>
  <c r="AQ23" i="56"/>
  <c r="AP23" i="56"/>
  <c r="AO23" i="56"/>
  <c r="AN23" i="56"/>
  <c r="AG23" i="56"/>
  <c r="AF23" i="56"/>
  <c r="AE23" i="56"/>
  <c r="AD23" i="56"/>
  <c r="AC23" i="56"/>
  <c r="AB23" i="56"/>
  <c r="AA23" i="56"/>
  <c r="I23" i="56"/>
  <c r="AT22" i="56"/>
  <c r="AS22" i="56"/>
  <c r="AR22" i="56"/>
  <c r="AQ22" i="56"/>
  <c r="AP22" i="56"/>
  <c r="AO22" i="56"/>
  <c r="AN22" i="56"/>
  <c r="AG22" i="56"/>
  <c r="AF22" i="56"/>
  <c r="AE22" i="56"/>
  <c r="AD22" i="56"/>
  <c r="AC22" i="56"/>
  <c r="AB22" i="56"/>
  <c r="AA22" i="56"/>
  <c r="AT21" i="56"/>
  <c r="AS21" i="56"/>
  <c r="AR21" i="56"/>
  <c r="AQ21" i="56"/>
  <c r="AP21" i="56"/>
  <c r="AO21" i="56"/>
  <c r="AN21" i="56"/>
  <c r="AG21" i="56"/>
  <c r="AF21" i="56"/>
  <c r="AE21" i="56"/>
  <c r="AD21" i="56"/>
  <c r="AC21" i="56"/>
  <c r="AB21" i="56"/>
  <c r="AA21" i="56"/>
  <c r="AT20" i="56"/>
  <c r="AS20" i="56"/>
  <c r="AR20" i="56"/>
  <c r="AQ20" i="56"/>
  <c r="AP20" i="56"/>
  <c r="AO20" i="56"/>
  <c r="AN20" i="56"/>
  <c r="AG20" i="56"/>
  <c r="AF20" i="56"/>
  <c r="AE20" i="56"/>
  <c r="AD20" i="56"/>
  <c r="AC20" i="56"/>
  <c r="AB20" i="56"/>
  <c r="AA20" i="56"/>
  <c r="AT19" i="56"/>
  <c r="AS19" i="56"/>
  <c r="AR19" i="56"/>
  <c r="AQ19" i="56"/>
  <c r="AP19" i="56"/>
  <c r="AO19" i="56"/>
  <c r="AN19" i="56"/>
  <c r="AG19" i="56"/>
  <c r="AF19" i="56"/>
  <c r="AE19" i="56"/>
  <c r="AD19" i="56"/>
  <c r="AC19" i="56"/>
  <c r="AB19" i="56"/>
  <c r="AA19" i="56"/>
  <c r="J19" i="56"/>
  <c r="L19" i="56" s="1"/>
  <c r="AT18" i="56"/>
  <c r="AS18" i="56"/>
  <c r="AR18" i="56"/>
  <c r="AQ18" i="56"/>
  <c r="AP18" i="56"/>
  <c r="AO18" i="56"/>
  <c r="AN18" i="56"/>
  <c r="AG18" i="56"/>
  <c r="AF18" i="56"/>
  <c r="AE18" i="56"/>
  <c r="AD18" i="56"/>
  <c r="AC18" i="56"/>
  <c r="AB18" i="56"/>
  <c r="AA18" i="56"/>
  <c r="I18" i="56"/>
  <c r="AT17" i="56"/>
  <c r="AS17" i="56"/>
  <c r="AR17" i="56"/>
  <c r="AQ17" i="56"/>
  <c r="AP17" i="56"/>
  <c r="AO17" i="56"/>
  <c r="AN17" i="56"/>
  <c r="AG17" i="56"/>
  <c r="AF17" i="56"/>
  <c r="AE17" i="56"/>
  <c r="AD17" i="56"/>
  <c r="AC17" i="56"/>
  <c r="AB17" i="56"/>
  <c r="AA17" i="56"/>
  <c r="AT16" i="56"/>
  <c r="AS16" i="56"/>
  <c r="AR16" i="56"/>
  <c r="AQ16" i="56"/>
  <c r="AP16" i="56"/>
  <c r="AO16" i="56"/>
  <c r="AN16" i="56"/>
  <c r="AG16" i="56"/>
  <c r="AF16" i="56"/>
  <c r="AE16" i="56"/>
  <c r="AD16" i="56"/>
  <c r="AC16" i="56"/>
  <c r="AB16" i="56"/>
  <c r="AA16" i="56"/>
  <c r="AT15" i="56"/>
  <c r="AS15" i="56"/>
  <c r="AR15" i="56"/>
  <c r="AQ15" i="56"/>
  <c r="AP15" i="56"/>
  <c r="AO15" i="56"/>
  <c r="AN15" i="56"/>
  <c r="AG15" i="56"/>
  <c r="AF15" i="56"/>
  <c r="AE15" i="56"/>
  <c r="AD15" i="56"/>
  <c r="AC15" i="56"/>
  <c r="AB15" i="56"/>
  <c r="AA15" i="56"/>
  <c r="AT14" i="56"/>
  <c r="AS14" i="56"/>
  <c r="AR14" i="56"/>
  <c r="AQ14" i="56"/>
  <c r="AP14" i="56"/>
  <c r="AO14" i="56"/>
  <c r="AN14" i="56"/>
  <c r="AG14" i="56"/>
  <c r="AF14" i="56"/>
  <c r="AE14" i="56"/>
  <c r="AD14" i="56"/>
  <c r="AC14" i="56"/>
  <c r="AB14" i="56"/>
  <c r="AA14" i="56"/>
  <c r="J14" i="56"/>
  <c r="L14" i="56" s="1"/>
  <c r="AT13" i="56"/>
  <c r="AS13" i="56"/>
  <c r="AR13" i="56"/>
  <c r="AQ13" i="56"/>
  <c r="AP13" i="56"/>
  <c r="AO13" i="56"/>
  <c r="AN13" i="56"/>
  <c r="AG13" i="56"/>
  <c r="AF13" i="56"/>
  <c r="AE13" i="56"/>
  <c r="AD13" i="56"/>
  <c r="AC13" i="56"/>
  <c r="AB13" i="56"/>
  <c r="AA13" i="56"/>
  <c r="I13" i="56"/>
  <c r="AT12" i="56"/>
  <c r="AS12" i="56"/>
  <c r="AR12" i="56"/>
  <c r="AQ12" i="56"/>
  <c r="AP12" i="56"/>
  <c r="AO12" i="56"/>
  <c r="AN12" i="56"/>
  <c r="AG12" i="56"/>
  <c r="AF12" i="56"/>
  <c r="AE12" i="56"/>
  <c r="AD12" i="56"/>
  <c r="AC12" i="56"/>
  <c r="AB12" i="56"/>
  <c r="AA12" i="56"/>
  <c r="AT11" i="56"/>
  <c r="AS11" i="56"/>
  <c r="AR11" i="56"/>
  <c r="AQ11" i="56"/>
  <c r="AP11" i="56"/>
  <c r="AO11" i="56"/>
  <c r="AN11" i="56"/>
  <c r="AG11" i="56"/>
  <c r="AF11" i="56"/>
  <c r="AE11" i="56"/>
  <c r="AD11" i="56"/>
  <c r="AC11" i="56"/>
  <c r="AB11" i="56"/>
  <c r="AA11" i="56"/>
  <c r="AT10" i="56"/>
  <c r="AS10" i="56"/>
  <c r="AR10" i="56"/>
  <c r="AQ10" i="56"/>
  <c r="AP10" i="56"/>
  <c r="AO10" i="56"/>
  <c r="AN10" i="56"/>
  <c r="AG10" i="56"/>
  <c r="AF10" i="56"/>
  <c r="AE10" i="56"/>
  <c r="AD10" i="56"/>
  <c r="AC10" i="56"/>
  <c r="AB10" i="56"/>
  <c r="AA10" i="56"/>
  <c r="AT9" i="56"/>
  <c r="AS9" i="56"/>
  <c r="AR9" i="56"/>
  <c r="AQ9" i="56"/>
  <c r="AP9" i="56"/>
  <c r="AO9" i="56"/>
  <c r="AN9" i="56"/>
  <c r="AG9" i="56"/>
  <c r="AF9" i="56"/>
  <c r="AE9" i="56"/>
  <c r="AD9" i="56"/>
  <c r="AC9" i="56"/>
  <c r="AB9" i="56"/>
  <c r="AA9" i="56"/>
  <c r="AT5" i="56"/>
  <c r="AS5" i="56"/>
  <c r="AR5" i="56"/>
  <c r="AQ5" i="56"/>
  <c r="AP5" i="56"/>
  <c r="AC3" i="56"/>
  <c r="N1" i="56"/>
  <c r="J34" i="10"/>
  <c r="L34" i="10" s="1"/>
  <c r="J30" i="10"/>
  <c r="L30" i="10" s="1"/>
  <c r="J28" i="10"/>
  <c r="L28" i="10" s="1"/>
  <c r="J26" i="10"/>
  <c r="L26" i="10" s="1"/>
  <c r="J16" i="27"/>
  <c r="J14" i="27"/>
  <c r="J30" i="56" l="1"/>
  <c r="L30" i="56" s="1"/>
  <c r="G67" i="56"/>
  <c r="G64" i="56"/>
  <c r="D20" i="72"/>
  <c r="J20" i="56"/>
  <c r="L20" i="56" s="1"/>
  <c r="J69" i="56"/>
  <c r="L69" i="56" s="1"/>
  <c r="J45" i="56"/>
  <c r="L45" i="56" s="1"/>
  <c r="J50" i="56"/>
  <c r="L50" i="56" s="1"/>
  <c r="J13" i="56"/>
  <c r="L13" i="56" s="1"/>
  <c r="J18" i="56"/>
  <c r="L18" i="56" s="1"/>
  <c r="J33" i="56"/>
  <c r="L33" i="56" s="1"/>
  <c r="G35" i="56"/>
  <c r="J35" i="56" s="1"/>
  <c r="L35" i="56" s="1"/>
  <c r="J23" i="56"/>
  <c r="L23" i="56" s="1"/>
  <c r="G25" i="56"/>
  <c r="J25" i="56" s="1"/>
  <c r="L25" i="56" s="1"/>
  <c r="G70" i="56"/>
  <c r="J15" i="56"/>
  <c r="L15" i="56" s="1"/>
  <c r="J29" i="17"/>
  <c r="G37" i="1"/>
  <c r="G36" i="1"/>
  <c r="G30" i="1"/>
  <c r="G41" i="1" s="1"/>
  <c r="G42" i="1" s="1"/>
  <c r="G43" i="1" s="1"/>
  <c r="J60" i="27"/>
  <c r="J55" i="27"/>
  <c r="I35" i="27"/>
  <c r="G35" i="27"/>
  <c r="J35" i="27" s="1"/>
  <c r="G33" i="27"/>
  <c r="G31" i="27"/>
  <c r="G29" i="27"/>
  <c r="B3" i="55"/>
  <c r="B3" i="34"/>
  <c r="B3" i="41"/>
  <c r="B3" i="9"/>
  <c r="B3" i="10"/>
  <c r="B3" i="8"/>
  <c r="B3" i="1"/>
  <c r="B3" i="17"/>
  <c r="B3" i="27"/>
  <c r="B3" i="46"/>
  <c r="A1" i="44"/>
  <c r="H4" i="58"/>
  <c r="H3" i="58"/>
  <c r="J28" i="17"/>
  <c r="J27" i="17"/>
  <c r="J14" i="17"/>
  <c r="J16" i="17"/>
  <c r="J18" i="17"/>
  <c r="J20" i="17"/>
  <c r="J21" i="17"/>
  <c r="J22" i="17"/>
  <c r="J23" i="17"/>
  <c r="J24" i="17"/>
  <c r="J25" i="17"/>
  <c r="J26" i="17"/>
  <c r="J31" i="17"/>
  <c r="J40" i="17"/>
  <c r="J39" i="17"/>
  <c r="J12" i="17"/>
  <c r="I67" i="56" l="1"/>
  <c r="J67" i="56" s="1"/>
  <c r="L67" i="56" s="1"/>
  <c r="I64" i="56"/>
  <c r="J64" i="56" s="1"/>
  <c r="L64" i="56" s="1"/>
  <c r="J70" i="56"/>
  <c r="L70" i="56" s="1"/>
  <c r="O2" i="56"/>
  <c r="G24" i="44"/>
  <c r="E23" i="44"/>
  <c r="D23" i="44"/>
  <c r="B23" i="44"/>
  <c r="F22" i="44"/>
  <c r="G22" i="44" s="1"/>
  <c r="H22" i="44" s="1"/>
  <c r="F21" i="44"/>
  <c r="G21" i="44" s="1"/>
  <c r="H21" i="44" s="1"/>
  <c r="F20" i="44"/>
  <c r="G20" i="44" s="1"/>
  <c r="H20" i="44" s="1"/>
  <c r="F19" i="44"/>
  <c r="G19" i="44" s="1"/>
  <c r="H19" i="44" s="1"/>
  <c r="F18" i="44"/>
  <c r="G18" i="44" s="1"/>
  <c r="H18" i="44" s="1"/>
  <c r="F17" i="44"/>
  <c r="G17" i="44" s="1"/>
  <c r="H17" i="44" s="1"/>
  <c r="F16" i="44"/>
  <c r="G16" i="44" s="1"/>
  <c r="H16" i="44" s="1"/>
  <c r="F15" i="44"/>
  <c r="G15" i="44" s="1"/>
  <c r="H15" i="44" s="1"/>
  <c r="F14" i="44"/>
  <c r="G14" i="44" s="1"/>
  <c r="H14" i="44" s="1"/>
  <c r="F13" i="44"/>
  <c r="G13" i="44" s="1"/>
  <c r="H13" i="44" s="1"/>
  <c r="F12" i="44"/>
  <c r="G12" i="44" s="1"/>
  <c r="H12" i="44" s="1"/>
  <c r="F11" i="44"/>
  <c r="G11" i="44" s="1"/>
  <c r="G25" i="44"/>
  <c r="H11" i="44" l="1"/>
  <c r="H23" i="44" s="1"/>
  <c r="G23" i="44"/>
  <c r="F23" i="44"/>
  <c r="H25" i="44" l="1"/>
  <c r="H24" i="44"/>
  <c r="H26" i="44" l="1"/>
  <c r="J19" i="14" l="1"/>
  <c r="L26" i="44"/>
  <c r="L23" i="1" l="1"/>
  <c r="L24" i="1"/>
  <c r="L28" i="1"/>
  <c r="L29" i="1"/>
  <c r="L33" i="1"/>
  <c r="L34" i="1"/>
  <c r="L38" i="1"/>
  <c r="L39" i="1"/>
  <c r="L40" i="1"/>
  <c r="L41" i="1"/>
  <c r="L44" i="1"/>
  <c r="L45" i="1"/>
  <c r="L48" i="1"/>
  <c r="L49" i="1"/>
  <c r="L51" i="1"/>
  <c r="L13" i="55"/>
  <c r="L14" i="55"/>
  <c r="L62" i="9"/>
  <c r="L54" i="9"/>
  <c r="L80" i="9"/>
  <c r="L52" i="9"/>
  <c r="L81" i="9"/>
  <c r="L63" i="9"/>
  <c r="L64" i="9"/>
  <c r="L65" i="9"/>
  <c r="L66" i="9"/>
  <c r="L67" i="9"/>
  <c r="L71" i="9"/>
  <c r="L72" i="9"/>
  <c r="L73" i="9"/>
  <c r="L74" i="9"/>
  <c r="L75" i="9"/>
  <c r="L78" i="9"/>
  <c r="I59" i="9"/>
  <c r="I58" i="9"/>
  <c r="L16" i="8"/>
  <c r="L17" i="8"/>
  <c r="L18" i="8"/>
  <c r="L20" i="8"/>
  <c r="L22" i="8"/>
  <c r="L23" i="8"/>
  <c r="L26" i="8"/>
  <c r="L27" i="8"/>
  <c r="L28" i="8"/>
  <c r="L30" i="8"/>
  <c r="AT27" i="8"/>
  <c r="AS27" i="8"/>
  <c r="AR27" i="8"/>
  <c r="AQ27" i="8"/>
  <c r="AP27" i="8"/>
  <c r="AO27" i="8"/>
  <c r="AN27" i="8"/>
  <c r="AM27" i="8"/>
  <c r="AG27" i="8"/>
  <c r="AF27" i="8"/>
  <c r="AE27" i="8"/>
  <c r="AD27" i="8"/>
  <c r="AC27" i="8"/>
  <c r="AB27" i="8"/>
  <c r="AA27" i="8"/>
  <c r="I50" i="1"/>
  <c r="AF79" i="58"/>
  <c r="AG79" i="58" s="1"/>
  <c r="AH79" i="58" s="1"/>
  <c r="AE79" i="58"/>
  <c r="AB79" i="58"/>
  <c r="X79" i="58"/>
  <c r="U79" i="58"/>
  <c r="R79" i="58"/>
  <c r="AF75" i="58"/>
  <c r="AG75" i="58" s="1"/>
  <c r="AH75" i="58" s="1"/>
  <c r="AE75" i="58"/>
  <c r="AB75" i="58"/>
  <c r="X75" i="58"/>
  <c r="U75" i="58"/>
  <c r="R75" i="58"/>
  <c r="O75" i="58"/>
  <c r="AA79" i="58" l="1"/>
  <c r="AA75" i="58"/>
  <c r="I68" i="9"/>
  <c r="G24" i="8" l="1"/>
  <c r="G37" i="17"/>
  <c r="S90" i="58"/>
  <c r="R88" i="58"/>
  <c r="O88" i="58"/>
  <c r="R87" i="58"/>
  <c r="O87" i="58"/>
  <c r="R83" i="58"/>
  <c r="R82" i="58"/>
  <c r="R81" i="58"/>
  <c r="R80" i="58"/>
  <c r="R78" i="58"/>
  <c r="R77" i="58"/>
  <c r="R76" i="58"/>
  <c r="O76" i="58"/>
  <c r="R74" i="58"/>
  <c r="G79" i="9"/>
  <c r="O74" i="58"/>
  <c r="R73" i="58"/>
  <c r="O73" i="58"/>
  <c r="R72" i="58"/>
  <c r="O72" i="58"/>
  <c r="R71" i="58"/>
  <c r="O71" i="58"/>
  <c r="R70" i="58"/>
  <c r="O70" i="58"/>
  <c r="R69" i="58"/>
  <c r="O69" i="58"/>
  <c r="R68" i="58"/>
  <c r="O68" i="58"/>
  <c r="R67" i="58"/>
  <c r="O67" i="58"/>
  <c r="R66" i="58"/>
  <c r="O66" i="58"/>
  <c r="R65" i="58"/>
  <c r="O65" i="58"/>
  <c r="R64" i="58"/>
  <c r="O64" i="58"/>
  <c r="R63" i="58"/>
  <c r="O63" i="58"/>
  <c r="R62" i="58"/>
  <c r="O62" i="58"/>
  <c r="R61" i="58"/>
  <c r="O61" i="58"/>
  <c r="R109" i="58" l="1"/>
  <c r="R101" i="58"/>
  <c r="D19" i="72"/>
  <c r="M30" i="55"/>
  <c r="O90" i="58"/>
  <c r="O101" i="58"/>
  <c r="N117" i="58" s="1"/>
  <c r="N114" i="58"/>
  <c r="O109" i="58"/>
  <c r="L109" i="58" s="1"/>
  <c r="R90" i="58"/>
  <c r="G15" i="55"/>
  <c r="L13" i="8"/>
  <c r="U104" i="58"/>
  <c r="U98" i="58"/>
  <c r="X95" i="58"/>
  <c r="U95" i="58"/>
  <c r="Y90" i="58"/>
  <c r="V90" i="58"/>
  <c r="AB88" i="58"/>
  <c r="X88" i="58"/>
  <c r="U88" i="58"/>
  <c r="AB87" i="58"/>
  <c r="X87" i="58"/>
  <c r="U87" i="58"/>
  <c r="AB83" i="58"/>
  <c r="X83" i="58"/>
  <c r="U83" i="58"/>
  <c r="AB82" i="58"/>
  <c r="X82" i="58"/>
  <c r="U82" i="58"/>
  <c r="AB81" i="58"/>
  <c r="X81" i="58"/>
  <c r="U81" i="58"/>
  <c r="AB80" i="58"/>
  <c r="X80" i="58"/>
  <c r="U80" i="58"/>
  <c r="AB78" i="58"/>
  <c r="X78" i="58"/>
  <c r="U78" i="58"/>
  <c r="AB77" i="58"/>
  <c r="X77" i="58"/>
  <c r="U77" i="58"/>
  <c r="AB76" i="58"/>
  <c r="X76" i="58"/>
  <c r="U76" i="58"/>
  <c r="AB74" i="58"/>
  <c r="X74" i="58"/>
  <c r="U74" i="58"/>
  <c r="AB73" i="58"/>
  <c r="X73" i="58"/>
  <c r="U73" i="58"/>
  <c r="AB72" i="58"/>
  <c r="X72" i="58"/>
  <c r="U72" i="58"/>
  <c r="AB71" i="58"/>
  <c r="X71" i="58"/>
  <c r="U71" i="58"/>
  <c r="AB70" i="58"/>
  <c r="X70" i="58"/>
  <c r="U70" i="58"/>
  <c r="AB69" i="58"/>
  <c r="X69" i="58"/>
  <c r="U69" i="58"/>
  <c r="AB68" i="58"/>
  <c r="X68" i="58"/>
  <c r="U68" i="58"/>
  <c r="AB67" i="58"/>
  <c r="X67" i="58"/>
  <c r="U67" i="58"/>
  <c r="AB66" i="58"/>
  <c r="X66" i="58"/>
  <c r="U66" i="58"/>
  <c r="AB65" i="58"/>
  <c r="X65" i="58"/>
  <c r="U65" i="58"/>
  <c r="AA65" i="58" s="1"/>
  <c r="AB64" i="58"/>
  <c r="X64" i="58"/>
  <c r="U64" i="58"/>
  <c r="AB63" i="58"/>
  <c r="X63" i="58"/>
  <c r="U63" i="58"/>
  <c r="AB62" i="58"/>
  <c r="X62" i="58"/>
  <c r="U62" i="58"/>
  <c r="AA62" i="58" s="1"/>
  <c r="AB61" i="58"/>
  <c r="X61" i="58"/>
  <c r="U61" i="58"/>
  <c r="AA70" i="58" l="1"/>
  <c r="D21" i="72"/>
  <c r="J30" i="55"/>
  <c r="AB90" i="58"/>
  <c r="AA73" i="58"/>
  <c r="AA74" i="58"/>
  <c r="AA67" i="58"/>
  <c r="AA69" i="58"/>
  <c r="AA83" i="58"/>
  <c r="AA82" i="58"/>
  <c r="AA87" i="58"/>
  <c r="AA68" i="58"/>
  <c r="AA76" i="58"/>
  <c r="AA66" i="58"/>
  <c r="AA80" i="58"/>
  <c r="AA88" i="58"/>
  <c r="AA72" i="58"/>
  <c r="AA63" i="58"/>
  <c r="AA77" i="58"/>
  <c r="AA71" i="58"/>
  <c r="AA81" i="58"/>
  <c r="AA64" i="58"/>
  <c r="AA78" i="58"/>
  <c r="U90" i="58"/>
  <c r="J36" i="55"/>
  <c r="M36" i="55" s="1"/>
  <c r="J31" i="55"/>
  <c r="M31" i="55" s="1"/>
  <c r="X90" i="58"/>
  <c r="E57" i="17"/>
  <c r="O104" i="58"/>
  <c r="O98" i="58"/>
  <c r="L98" i="58" s="1"/>
  <c r="R104" i="58"/>
  <c r="R98" i="58"/>
  <c r="AA61" i="58"/>
  <c r="AA109" i="58"/>
  <c r="AE88" i="58"/>
  <c r="AE87" i="58"/>
  <c r="AE83" i="58"/>
  <c r="AE72" i="58"/>
  <c r="AE73" i="58"/>
  <c r="AE74" i="58"/>
  <c r="AE76" i="58"/>
  <c r="AE77" i="58"/>
  <c r="AE78" i="58"/>
  <c r="AE80" i="58"/>
  <c r="AE81" i="58"/>
  <c r="AE82" i="58"/>
  <c r="AE71" i="58"/>
  <c r="AE61" i="58"/>
  <c r="AE62" i="58"/>
  <c r="AE63" i="58"/>
  <c r="AE64" i="58"/>
  <c r="AE65" i="58"/>
  <c r="AE66" i="58"/>
  <c r="AE67" i="58"/>
  <c r="AE68" i="58"/>
  <c r="AE69" i="58"/>
  <c r="AE70" i="58"/>
  <c r="AF88" i="58"/>
  <c r="AF87" i="58"/>
  <c r="AF61" i="58"/>
  <c r="AG61" i="58" s="1"/>
  <c r="AH61" i="58" s="1"/>
  <c r="AF62" i="58"/>
  <c r="AG62" i="58" s="1"/>
  <c r="AH62" i="58" s="1"/>
  <c r="AF63" i="58"/>
  <c r="AG63" i="58" s="1"/>
  <c r="AH63" i="58" s="1"/>
  <c r="AF64" i="58"/>
  <c r="AG64" i="58" s="1"/>
  <c r="AH64" i="58" s="1"/>
  <c r="AF65" i="58"/>
  <c r="AG65" i="58" s="1"/>
  <c r="AH65" i="58" s="1"/>
  <c r="AF66" i="58"/>
  <c r="AG66" i="58" s="1"/>
  <c r="AH66" i="58" s="1"/>
  <c r="AF67" i="58"/>
  <c r="AG67" i="58" s="1"/>
  <c r="AH67" i="58" s="1"/>
  <c r="AF68" i="58"/>
  <c r="AG68" i="58" s="1"/>
  <c r="AH68" i="58" s="1"/>
  <c r="AF69" i="58"/>
  <c r="AG69" i="58" s="1"/>
  <c r="AH69" i="58" s="1"/>
  <c r="AF70" i="58"/>
  <c r="AG70" i="58" s="1"/>
  <c r="AH70" i="58" s="1"/>
  <c r="AF71" i="58"/>
  <c r="AG71" i="58" s="1"/>
  <c r="AH71" i="58" s="1"/>
  <c r="AF72" i="58"/>
  <c r="AG72" i="58" s="1"/>
  <c r="AH72" i="58" s="1"/>
  <c r="AF73" i="58"/>
  <c r="AG73" i="58" s="1"/>
  <c r="AH73" i="58" s="1"/>
  <c r="AF74" i="58"/>
  <c r="AG74" i="58" s="1"/>
  <c r="AH74" i="58" s="1"/>
  <c r="AF76" i="58"/>
  <c r="AG76" i="58" s="1"/>
  <c r="AH76" i="58" s="1"/>
  <c r="AF77" i="58"/>
  <c r="AG77" i="58" s="1"/>
  <c r="AH77" i="58" s="1"/>
  <c r="AF78" i="58"/>
  <c r="AG78" i="58" s="1"/>
  <c r="AH78" i="58" s="1"/>
  <c r="AF80" i="58"/>
  <c r="AG80" i="58" s="1"/>
  <c r="AH80" i="58" s="1"/>
  <c r="AF81" i="58"/>
  <c r="AG81" i="58" s="1"/>
  <c r="AH81" i="58" s="1"/>
  <c r="AF82" i="58"/>
  <c r="AG82" i="58" s="1"/>
  <c r="AH82" i="58" s="1"/>
  <c r="AF83" i="58"/>
  <c r="G6" i="71" l="1"/>
  <c r="G14" i="34"/>
  <c r="G38" i="55"/>
  <c r="G6" i="70"/>
  <c r="G42" i="17"/>
  <c r="AH90" i="58"/>
  <c r="AE90" i="58"/>
  <c r="L21" i="34"/>
  <c r="M21" i="34" s="1"/>
  <c r="L23" i="34"/>
  <c r="M23" i="34" s="1"/>
  <c r="L24" i="34"/>
  <c r="M24" i="34" s="1"/>
  <c r="L22" i="34"/>
  <c r="M22" i="34" s="1"/>
  <c r="L25" i="34"/>
  <c r="M25" i="34" s="1"/>
  <c r="L26" i="34"/>
  <c r="M26" i="34" s="1"/>
  <c r="L15" i="34"/>
  <c r="M15" i="34" s="1"/>
  <c r="L16" i="34"/>
  <c r="M16" i="34" s="1"/>
  <c r="L27" i="34"/>
  <c r="M27" i="34" s="1"/>
  <c r="L17" i="34"/>
  <c r="M17" i="34" s="1"/>
  <c r="L28" i="34"/>
  <c r="M28" i="34" s="1"/>
  <c r="L18" i="34"/>
  <c r="M18" i="34" s="1"/>
  <c r="L29" i="34"/>
  <c r="M29" i="34" s="1"/>
  <c r="L19" i="34"/>
  <c r="M19" i="34" s="1"/>
  <c r="L20" i="34"/>
  <c r="M20" i="34" s="1"/>
  <c r="E46" i="72"/>
  <c r="H46" i="72" s="1"/>
  <c r="J38" i="55"/>
  <c r="AA90" i="58"/>
  <c r="AF90" i="58"/>
  <c r="N118" i="58"/>
  <c r="G21" i="55"/>
  <c r="G35" i="55" s="1"/>
  <c r="J35" i="55" s="1"/>
  <c r="G61" i="9"/>
  <c r="G60" i="9"/>
  <c r="AA104" i="58"/>
  <c r="G5" i="69" s="1"/>
  <c r="AA98" i="58"/>
  <c r="N113" i="58"/>
  <c r="J62" i="27"/>
  <c r="G80" i="69" l="1"/>
  <c r="I80" i="69" s="1"/>
  <c r="N80" i="69" s="1"/>
  <c r="G68" i="69"/>
  <c r="I68" i="69" s="1"/>
  <c r="N68" i="69" s="1"/>
  <c r="G43" i="69"/>
  <c r="I43" i="69" s="1"/>
  <c r="N43" i="69" s="1"/>
  <c r="G34" i="69"/>
  <c r="I34" i="69" s="1"/>
  <c r="N34" i="69" s="1"/>
  <c r="G13" i="69"/>
  <c r="I13" i="69" s="1"/>
  <c r="N13" i="69" s="1"/>
  <c r="G26" i="69"/>
  <c r="I26" i="69" s="1"/>
  <c r="N26" i="69" s="1"/>
  <c r="G67" i="69"/>
  <c r="I67" i="69" s="1"/>
  <c r="N67" i="69" s="1"/>
  <c r="G25" i="69"/>
  <c r="I25" i="69" s="1"/>
  <c r="N25" i="69" s="1"/>
  <c r="G65" i="69"/>
  <c r="I65" i="69" s="1"/>
  <c r="N65" i="69" s="1"/>
  <c r="G75" i="69"/>
  <c r="I75" i="69" s="1"/>
  <c r="N75" i="69" s="1"/>
  <c r="G40" i="69"/>
  <c r="I40" i="69" s="1"/>
  <c r="N40" i="69" s="1"/>
  <c r="G10" i="69"/>
  <c r="I10" i="69" s="1"/>
  <c r="N10" i="69" s="1"/>
  <c r="G74" i="69"/>
  <c r="I74" i="69" s="1"/>
  <c r="N74" i="69" s="1"/>
  <c r="G71" i="69"/>
  <c r="I71" i="69" s="1"/>
  <c r="N71" i="69" s="1"/>
  <c r="G61" i="69"/>
  <c r="G52" i="69"/>
  <c r="I52" i="69" s="1"/>
  <c r="N52" i="69" s="1"/>
  <c r="G21" i="69"/>
  <c r="I21" i="69" s="1"/>
  <c r="N21" i="69" s="1"/>
  <c r="G20" i="69"/>
  <c r="I20" i="69" s="1"/>
  <c r="N20" i="69" s="1"/>
  <c r="G17" i="69"/>
  <c r="I17" i="69" s="1"/>
  <c r="N17" i="69" s="1"/>
  <c r="G38" i="69"/>
  <c r="I38" i="69" s="1"/>
  <c r="N38" i="69" s="1"/>
  <c r="G11" i="69"/>
  <c r="I11" i="69" s="1"/>
  <c r="N11" i="69" s="1"/>
  <c r="G41" i="69"/>
  <c r="I41" i="69" s="1"/>
  <c r="N41" i="69" s="1"/>
  <c r="G79" i="69"/>
  <c r="I79" i="69" s="1"/>
  <c r="N79" i="69" s="1"/>
  <c r="S80" i="69" s="1"/>
  <c r="G64" i="69"/>
  <c r="I64" i="69" s="1"/>
  <c r="N64" i="69" s="1"/>
  <c r="G48" i="69"/>
  <c r="I48" i="69" s="1"/>
  <c r="N48" i="69" s="1"/>
  <c r="G16" i="69"/>
  <c r="I16" i="69" s="1"/>
  <c r="N16" i="69" s="1"/>
  <c r="G47" i="69"/>
  <c r="I47" i="69" s="1"/>
  <c r="N47" i="69" s="1"/>
  <c r="G70" i="69"/>
  <c r="I70" i="69" s="1"/>
  <c r="N70" i="69" s="1"/>
  <c r="G14" i="69"/>
  <c r="I14" i="69" s="1"/>
  <c r="N14" i="69" s="1"/>
  <c r="G53" i="69"/>
  <c r="I53" i="69" s="1"/>
  <c r="N53" i="69" s="1"/>
  <c r="G7" i="69"/>
  <c r="I7" i="69" s="1"/>
  <c r="N7" i="69" s="1"/>
  <c r="G37" i="69"/>
  <c r="I37" i="69" s="1"/>
  <c r="N37" i="69" s="1"/>
  <c r="G44" i="69"/>
  <c r="I44" i="69" s="1"/>
  <c r="N44" i="69" s="1"/>
  <c r="I42" i="70"/>
  <c r="I37" i="70"/>
  <c r="N37" i="70" s="1"/>
  <c r="G7" i="71"/>
  <c r="G5" i="68"/>
  <c r="G7" i="70"/>
  <c r="I24" i="71"/>
  <c r="I19" i="71"/>
  <c r="N19" i="71" s="1"/>
  <c r="G50" i="9"/>
  <c r="G31" i="9"/>
  <c r="G29" i="9"/>
  <c r="G46" i="9"/>
  <c r="G47" i="9" s="1"/>
  <c r="G25" i="9"/>
  <c r="G26" i="9" s="1"/>
  <c r="L38" i="55"/>
  <c r="M38" i="55" s="1"/>
  <c r="G76" i="9"/>
  <c r="J76" i="9" s="1"/>
  <c r="L76" i="9" s="1"/>
  <c r="G68" i="9"/>
  <c r="G69" i="9" s="1"/>
  <c r="O1" i="56"/>
  <c r="G56" i="56"/>
  <c r="J56" i="56" s="1"/>
  <c r="L56" i="56" s="1"/>
  <c r="J54" i="56"/>
  <c r="L54" i="56" s="1"/>
  <c r="N115" i="58"/>
  <c r="G59" i="9"/>
  <c r="R21" i="69" l="1"/>
  <c r="S26" i="69"/>
  <c r="S53" i="69"/>
  <c r="G59" i="69"/>
  <c r="I61" i="69"/>
  <c r="N61" i="69" s="1"/>
  <c r="N82" i="69" s="1"/>
  <c r="I26" i="71"/>
  <c r="N26" i="71" s="1"/>
  <c r="I21" i="71"/>
  <c r="N21" i="71" s="1"/>
  <c r="I27" i="71"/>
  <c r="N27" i="71" s="1"/>
  <c r="N24" i="71"/>
  <c r="R75" i="69"/>
  <c r="G14" i="68"/>
  <c r="I14" i="68" s="1"/>
  <c r="N14" i="68" s="1"/>
  <c r="G85" i="68"/>
  <c r="I85" i="68" s="1"/>
  <c r="N85" i="68" s="1"/>
  <c r="G27" i="68"/>
  <c r="I27" i="68" s="1"/>
  <c r="N27" i="68" s="1"/>
  <c r="G22" i="68"/>
  <c r="I22" i="68" s="1"/>
  <c r="N22" i="68" s="1"/>
  <c r="G7" i="68"/>
  <c r="I7" i="68" s="1"/>
  <c r="N7" i="68" s="1"/>
  <c r="G31" i="68"/>
  <c r="I31" i="68" s="1"/>
  <c r="N31" i="68" s="1"/>
  <c r="G30" i="68"/>
  <c r="I30" i="68" s="1"/>
  <c r="N30" i="68" s="1"/>
  <c r="G12" i="68"/>
  <c r="I12" i="68" s="1"/>
  <c r="N12" i="68" s="1"/>
  <c r="I37" i="68"/>
  <c r="N37" i="68" s="1"/>
  <c r="G26" i="68"/>
  <c r="I26" i="68" s="1"/>
  <c r="N26" i="68" s="1"/>
  <c r="G11" i="68"/>
  <c r="I11" i="68" s="1"/>
  <c r="N11" i="68" s="1"/>
  <c r="G17" i="68"/>
  <c r="I17" i="68" s="1"/>
  <c r="N17" i="68" s="1"/>
  <c r="G23" i="68"/>
  <c r="I23" i="68" s="1"/>
  <c r="N23" i="68" s="1"/>
  <c r="G34" i="68"/>
  <c r="I34" i="68" s="1"/>
  <c r="N34" i="68" s="1"/>
  <c r="G15" i="68"/>
  <c r="I15" i="68" s="1"/>
  <c r="N15" i="68" s="1"/>
  <c r="G18" i="68"/>
  <c r="I18" i="68" s="1"/>
  <c r="N18" i="68" s="1"/>
  <c r="G36" i="68"/>
  <c r="I36" i="68" s="1"/>
  <c r="N36" i="68" s="1"/>
  <c r="G19" i="68"/>
  <c r="I19" i="68" s="1"/>
  <c r="N19" i="68" s="1"/>
  <c r="G124" i="68"/>
  <c r="I124" i="68" s="1"/>
  <c r="N124" i="68" s="1"/>
  <c r="G33" i="68"/>
  <c r="I33" i="68" s="1"/>
  <c r="N33" i="68" s="1"/>
  <c r="G162" i="68"/>
  <c r="I162" i="68" s="1"/>
  <c r="N162" i="68" s="1"/>
  <c r="I11" i="70"/>
  <c r="N11" i="70" s="1"/>
  <c r="I14" i="70"/>
  <c r="N14" i="70" s="1"/>
  <c r="Q14" i="70" s="1"/>
  <c r="I33" i="70"/>
  <c r="N33" i="70" s="1"/>
  <c r="I30" i="70"/>
  <c r="N28" i="69"/>
  <c r="N4" i="69" s="1"/>
  <c r="I29" i="27" s="1"/>
  <c r="R48" i="69"/>
  <c r="N55" i="69"/>
  <c r="N31" i="69" s="1"/>
  <c r="I39" i="70"/>
  <c r="N39" i="70" s="1"/>
  <c r="I44" i="70"/>
  <c r="N44" i="70" s="1"/>
  <c r="I45" i="70"/>
  <c r="N45" i="70" s="1"/>
  <c r="N42" i="70"/>
  <c r="Q31" i="71"/>
  <c r="I14" i="71"/>
  <c r="N14" i="71" s="1"/>
  <c r="Q14" i="71" s="1"/>
  <c r="I11" i="71"/>
  <c r="N11" i="71" s="1"/>
  <c r="L12" i="14"/>
  <c r="AA94" i="58"/>
  <c r="G19" i="8" s="1"/>
  <c r="AA93" i="58"/>
  <c r="AA95" i="58"/>
  <c r="J72" i="56"/>
  <c r="L72" i="56" s="1"/>
  <c r="G73" i="56"/>
  <c r="J73" i="56" s="1"/>
  <c r="L73" i="56" s="1"/>
  <c r="J68" i="9"/>
  <c r="L68" i="9" s="1"/>
  <c r="G70" i="9"/>
  <c r="J70" i="9" s="1"/>
  <c r="L70" i="9" s="1"/>
  <c r="J69" i="9"/>
  <c r="L69" i="9" s="1"/>
  <c r="N58" i="69" l="1"/>
  <c r="S27" i="68"/>
  <c r="T34" i="68"/>
  <c r="U37" i="68"/>
  <c r="I19" i="70"/>
  <c r="N30" i="70"/>
  <c r="I24" i="70"/>
  <c r="N24" i="70" s="1"/>
  <c r="I31" i="70"/>
  <c r="N31" i="70" s="1"/>
  <c r="I32" i="70"/>
  <c r="N32" i="70" s="1"/>
  <c r="I21" i="70"/>
  <c r="N21" i="70" s="1"/>
  <c r="Q11" i="70"/>
  <c r="N193" i="68"/>
  <c r="N158" i="68" s="1"/>
  <c r="R173" i="68"/>
  <c r="N39" i="68"/>
  <c r="N4" i="68" s="1"/>
  <c r="I27" i="27" s="1"/>
  <c r="I30" i="1" s="1"/>
  <c r="I35" i="1" s="1"/>
  <c r="R19" i="68"/>
  <c r="Q11" i="71"/>
  <c r="N33" i="71"/>
  <c r="N4" i="71" s="1"/>
  <c r="N155" i="68"/>
  <c r="N120" i="68" s="1"/>
  <c r="R135" i="68"/>
  <c r="N117" i="68"/>
  <c r="N81" i="68" s="1"/>
  <c r="R96" i="68"/>
  <c r="AB91" i="58"/>
  <c r="AA91" i="58"/>
  <c r="J15" i="55"/>
  <c r="J19" i="34"/>
  <c r="J20" i="34"/>
  <c r="N21" i="8"/>
  <c r="N19" i="8"/>
  <c r="J29" i="8"/>
  <c r="L29" i="8" s="1"/>
  <c r="J25" i="8"/>
  <c r="L25" i="8" s="1"/>
  <c r="J24" i="8"/>
  <c r="L24" i="8" s="1"/>
  <c r="N19" i="70" l="1"/>
  <c r="I48" i="70"/>
  <c r="L15" i="55"/>
  <c r="J16" i="55"/>
  <c r="M16" i="55" s="1"/>
  <c r="I49" i="70" l="1"/>
  <c r="N49" i="70" s="1"/>
  <c r="N48" i="70"/>
  <c r="Q49" i="70" s="1"/>
  <c r="Q33" i="70"/>
  <c r="N51" i="70"/>
  <c r="N4" i="70" s="1"/>
  <c r="I31" i="27" s="1"/>
  <c r="I22" i="1" s="1"/>
  <c r="I32" i="1" s="1"/>
  <c r="I37" i="1" s="1"/>
  <c r="G32" i="1"/>
  <c r="I31" i="1"/>
  <c r="I36" i="1" s="1"/>
  <c r="G31" i="1"/>
  <c r="J29" i="27"/>
  <c r="J27" i="27"/>
  <c r="J25" i="27"/>
  <c r="J37" i="27"/>
  <c r="J33" i="27"/>
  <c r="J31" i="27"/>
  <c r="Z58" i="67"/>
  <c r="Z59" i="67"/>
  <c r="Z60" i="67"/>
  <c r="Z61" i="67"/>
  <c r="Z57" i="67"/>
  <c r="BD64" i="67"/>
  <c r="BD65" i="67"/>
  <c r="BD66" i="67"/>
  <c r="BD67" i="67"/>
  <c r="BD68" i="67"/>
  <c r="BD63" i="67"/>
  <c r="H167" i="67"/>
  <c r="H183" i="67"/>
  <c r="AZ153" i="67"/>
  <c r="AY153" i="67"/>
  <c r="AX153" i="67"/>
  <c r="AW153" i="67"/>
  <c r="AV153" i="67"/>
  <c r="AU153" i="67"/>
  <c r="AT153" i="67"/>
  <c r="AS153" i="67"/>
  <c r="AR153" i="67"/>
  <c r="AQ153" i="67"/>
  <c r="H153" i="67" s="1"/>
  <c r="P153" i="67"/>
  <c r="N153" i="67"/>
  <c r="F153" i="67"/>
  <c r="M153" i="67" s="1"/>
  <c r="AZ152" i="67"/>
  <c r="AY152" i="67"/>
  <c r="AX152" i="67"/>
  <c r="AW152" i="67"/>
  <c r="AV152" i="67"/>
  <c r="AU152" i="67"/>
  <c r="AT152" i="67"/>
  <c r="AS152" i="67"/>
  <c r="AR152" i="67"/>
  <c r="AQ152" i="67"/>
  <c r="H152" i="67" s="1"/>
  <c r="P152" i="67"/>
  <c r="N152" i="67"/>
  <c r="F152" i="67"/>
  <c r="M152" i="67" s="1"/>
  <c r="AZ151" i="67"/>
  <c r="AY151" i="67"/>
  <c r="AX151" i="67"/>
  <c r="AW151" i="67"/>
  <c r="AV151" i="67"/>
  <c r="AU151" i="67"/>
  <c r="AT151" i="67"/>
  <c r="AS151" i="67"/>
  <c r="AR151" i="67"/>
  <c r="H151" i="67" s="1"/>
  <c r="AQ151" i="67"/>
  <c r="P151" i="67"/>
  <c r="N151" i="67"/>
  <c r="F151" i="67"/>
  <c r="M151" i="67" s="1"/>
  <c r="AZ150" i="67"/>
  <c r="AY150" i="67"/>
  <c r="AX150" i="67"/>
  <c r="AW150" i="67"/>
  <c r="AV150" i="67"/>
  <c r="AU150" i="67"/>
  <c r="AT150" i="67"/>
  <c r="AS150" i="67"/>
  <c r="AR150" i="67"/>
  <c r="AQ150" i="67"/>
  <c r="P150" i="67"/>
  <c r="N150" i="67"/>
  <c r="F150" i="67"/>
  <c r="M150" i="67" s="1"/>
  <c r="AZ149" i="67"/>
  <c r="AY149" i="67"/>
  <c r="AX149" i="67"/>
  <c r="AW149" i="67"/>
  <c r="AV149" i="67"/>
  <c r="AU149" i="67"/>
  <c r="AT149" i="67"/>
  <c r="AS149" i="67"/>
  <c r="AR149" i="67"/>
  <c r="AQ149" i="67"/>
  <c r="H149" i="67" s="1"/>
  <c r="P149" i="67"/>
  <c r="N149" i="67"/>
  <c r="F149" i="67"/>
  <c r="M149" i="67" s="1"/>
  <c r="AZ148" i="67"/>
  <c r="AY148" i="67"/>
  <c r="AX148" i="67"/>
  <c r="AW148" i="67"/>
  <c r="AV148" i="67"/>
  <c r="AU148" i="67"/>
  <c r="AT148" i="67"/>
  <c r="AS148" i="67"/>
  <c r="AR148" i="67"/>
  <c r="AQ148" i="67"/>
  <c r="H148" i="67" s="1"/>
  <c r="P148" i="67"/>
  <c r="N148" i="67"/>
  <c r="F148" i="67"/>
  <c r="M148" i="67" s="1"/>
  <c r="AZ147" i="67"/>
  <c r="AY147" i="67"/>
  <c r="AX147" i="67"/>
  <c r="AW147" i="67"/>
  <c r="AV147" i="67"/>
  <c r="AU147" i="67"/>
  <c r="AT147" i="67"/>
  <c r="AS147" i="67"/>
  <c r="AR147" i="67"/>
  <c r="H147" i="67" s="1"/>
  <c r="AQ147" i="67"/>
  <c r="P147" i="67"/>
  <c r="N147" i="67"/>
  <c r="F147" i="67"/>
  <c r="M147" i="67" s="1"/>
  <c r="AZ146" i="67"/>
  <c r="AY146" i="67"/>
  <c r="AX146" i="67"/>
  <c r="AW146" i="67"/>
  <c r="AV146" i="67"/>
  <c r="AU146" i="67"/>
  <c r="AT146" i="67"/>
  <c r="AS146" i="67"/>
  <c r="AR146" i="67"/>
  <c r="AQ146" i="67"/>
  <c r="P146" i="67"/>
  <c r="N146" i="67"/>
  <c r="F146" i="67"/>
  <c r="M146" i="67" s="1"/>
  <c r="AZ145" i="67"/>
  <c r="AY145" i="67"/>
  <c r="AX145" i="67"/>
  <c r="AW145" i="67"/>
  <c r="AV145" i="67"/>
  <c r="AU145" i="67"/>
  <c r="AT145" i="67"/>
  <c r="AS145" i="67"/>
  <c r="AR145" i="67"/>
  <c r="AQ145" i="67"/>
  <c r="H145" i="67" s="1"/>
  <c r="P145" i="67"/>
  <c r="N145" i="67"/>
  <c r="F145" i="67"/>
  <c r="M145" i="67" s="1"/>
  <c r="AZ144" i="67"/>
  <c r="AY144" i="67"/>
  <c r="AX144" i="67"/>
  <c r="AW144" i="67"/>
  <c r="AV144" i="67"/>
  <c r="AU144" i="67"/>
  <c r="AT144" i="67"/>
  <c r="AS144" i="67"/>
  <c r="AR144" i="67"/>
  <c r="AQ144" i="67"/>
  <c r="H144" i="67" s="1"/>
  <c r="P144" i="67"/>
  <c r="N144" i="67"/>
  <c r="F144" i="67"/>
  <c r="M144" i="67" s="1"/>
  <c r="AZ143" i="67"/>
  <c r="AY143" i="67"/>
  <c r="AX143" i="67"/>
  <c r="AW143" i="67"/>
  <c r="AV143" i="67"/>
  <c r="AU143" i="67"/>
  <c r="AT143" i="67"/>
  <c r="AS143" i="67"/>
  <c r="AR143" i="67"/>
  <c r="H143" i="67" s="1"/>
  <c r="AQ143" i="67"/>
  <c r="P143" i="67"/>
  <c r="N143" i="67"/>
  <c r="F143" i="67"/>
  <c r="M143" i="67" s="1"/>
  <c r="AZ142" i="67"/>
  <c r="AY142" i="67"/>
  <c r="AX142" i="67"/>
  <c r="AW142" i="67"/>
  <c r="AV142" i="67"/>
  <c r="AU142" i="67"/>
  <c r="AT142" i="67"/>
  <c r="AS142" i="67"/>
  <c r="AR142" i="67"/>
  <c r="AQ142" i="67"/>
  <c r="P142" i="67"/>
  <c r="N142" i="67"/>
  <c r="F142" i="67"/>
  <c r="M142" i="67" s="1"/>
  <c r="AZ141" i="67"/>
  <c r="AY141" i="67"/>
  <c r="AX141" i="67"/>
  <c r="AW141" i="67"/>
  <c r="AV141" i="67"/>
  <c r="AU141" i="67"/>
  <c r="AT141" i="67"/>
  <c r="AS141" i="67"/>
  <c r="AR141" i="67"/>
  <c r="AQ141" i="67"/>
  <c r="P141" i="67"/>
  <c r="N141" i="67"/>
  <c r="F141" i="67"/>
  <c r="M141" i="67" s="1"/>
  <c r="AZ140" i="67"/>
  <c r="AY140" i="67"/>
  <c r="AX140" i="67"/>
  <c r="AW140" i="67"/>
  <c r="AV140" i="67"/>
  <c r="AU140" i="67"/>
  <c r="AT140" i="67"/>
  <c r="AS140" i="67"/>
  <c r="AR140" i="67"/>
  <c r="AQ140" i="67"/>
  <c r="H140" i="67" s="1"/>
  <c r="P140" i="67"/>
  <c r="N140" i="67"/>
  <c r="F140" i="67"/>
  <c r="M140" i="67" s="1"/>
  <c r="AZ139" i="67"/>
  <c r="AY139" i="67"/>
  <c r="AX139" i="67"/>
  <c r="AW139" i="67"/>
  <c r="AV139" i="67"/>
  <c r="AU139" i="67"/>
  <c r="AT139" i="67"/>
  <c r="AS139" i="67"/>
  <c r="AR139" i="67"/>
  <c r="H139" i="67" s="1"/>
  <c r="AQ139" i="67"/>
  <c r="P139" i="67"/>
  <c r="N139" i="67"/>
  <c r="F139" i="67"/>
  <c r="M139" i="67" s="1"/>
  <c r="AZ138" i="67"/>
  <c r="AY138" i="67"/>
  <c r="AX138" i="67"/>
  <c r="AW138" i="67"/>
  <c r="AV138" i="67"/>
  <c r="AU138" i="67"/>
  <c r="AT138" i="67"/>
  <c r="AS138" i="67"/>
  <c r="AR138" i="67"/>
  <c r="AQ138" i="67"/>
  <c r="P138" i="67"/>
  <c r="N138" i="67"/>
  <c r="F138" i="67"/>
  <c r="M138" i="67" s="1"/>
  <c r="AZ137" i="67"/>
  <c r="AY137" i="67"/>
  <c r="AX137" i="67"/>
  <c r="AW137" i="67"/>
  <c r="AV137" i="67"/>
  <c r="AU137" i="67"/>
  <c r="AT137" i="67"/>
  <c r="AS137" i="67"/>
  <c r="AR137" i="67"/>
  <c r="AQ137" i="67"/>
  <c r="P137" i="67"/>
  <c r="N137" i="67"/>
  <c r="F137" i="67"/>
  <c r="M137" i="67" s="1"/>
  <c r="AZ136" i="67"/>
  <c r="AY136" i="67"/>
  <c r="AX136" i="67"/>
  <c r="AW136" i="67"/>
  <c r="AV136" i="67"/>
  <c r="AU136" i="67"/>
  <c r="AT136" i="67"/>
  <c r="AS136" i="67"/>
  <c r="AR136" i="67"/>
  <c r="AQ136" i="67"/>
  <c r="H136" i="67" s="1"/>
  <c r="P136" i="67"/>
  <c r="N136" i="67"/>
  <c r="F136" i="67"/>
  <c r="M136" i="67" s="1"/>
  <c r="AZ135" i="67"/>
  <c r="AY135" i="67"/>
  <c r="AX135" i="67"/>
  <c r="AW135" i="67"/>
  <c r="AV135" i="67"/>
  <c r="AU135" i="67"/>
  <c r="AT135" i="67"/>
  <c r="AS135" i="67"/>
  <c r="AR135" i="67"/>
  <c r="H135" i="67" s="1"/>
  <c r="AQ135" i="67"/>
  <c r="P135" i="67"/>
  <c r="N135" i="67"/>
  <c r="F135" i="67"/>
  <c r="M135" i="67" s="1"/>
  <c r="AZ134" i="67"/>
  <c r="AY134" i="67"/>
  <c r="AX134" i="67"/>
  <c r="AW134" i="67"/>
  <c r="AV134" i="67"/>
  <c r="AU134" i="67"/>
  <c r="AT134" i="67"/>
  <c r="AS134" i="67"/>
  <c r="AR134" i="67"/>
  <c r="AQ134" i="67"/>
  <c r="P134" i="67"/>
  <c r="N134" i="67"/>
  <c r="F134" i="67"/>
  <c r="M134" i="67" s="1"/>
  <c r="AZ133" i="67"/>
  <c r="AY133" i="67"/>
  <c r="AX133" i="67"/>
  <c r="AW133" i="67"/>
  <c r="AV133" i="67"/>
  <c r="AU133" i="67"/>
  <c r="AT133" i="67"/>
  <c r="AS133" i="67"/>
  <c r="AR133" i="67"/>
  <c r="AQ133" i="67"/>
  <c r="P133" i="67"/>
  <c r="N133" i="67"/>
  <c r="F133" i="67"/>
  <c r="M133" i="67" s="1"/>
  <c r="AZ132" i="67"/>
  <c r="AY132" i="67"/>
  <c r="AX132" i="67"/>
  <c r="AW132" i="67"/>
  <c r="AV132" i="67"/>
  <c r="AU132" i="67"/>
  <c r="AT132" i="67"/>
  <c r="AS132" i="67"/>
  <c r="AR132" i="67"/>
  <c r="AQ132" i="67"/>
  <c r="H132" i="67" s="1"/>
  <c r="P132" i="67"/>
  <c r="N132" i="67"/>
  <c r="F132" i="67"/>
  <c r="M132" i="67" s="1"/>
  <c r="AZ131" i="67"/>
  <c r="AY131" i="67"/>
  <c r="AX131" i="67"/>
  <c r="AW131" i="67"/>
  <c r="AV131" i="67"/>
  <c r="AU131" i="67"/>
  <c r="AT131" i="67"/>
  <c r="AS131" i="67"/>
  <c r="AR131" i="67"/>
  <c r="H131" i="67" s="1"/>
  <c r="AQ131" i="67"/>
  <c r="P131" i="67"/>
  <c r="N131" i="67"/>
  <c r="F131" i="67"/>
  <c r="M131" i="67" s="1"/>
  <c r="AZ130" i="67"/>
  <c r="AY130" i="67"/>
  <c r="AX130" i="67"/>
  <c r="AW130" i="67"/>
  <c r="AV130" i="67"/>
  <c r="AU130" i="67"/>
  <c r="AT130" i="67"/>
  <c r="AS130" i="67"/>
  <c r="AR130" i="67"/>
  <c r="AQ130" i="67"/>
  <c r="P130" i="67"/>
  <c r="N130" i="67"/>
  <c r="F130" i="67"/>
  <c r="M130" i="67" s="1"/>
  <c r="AZ129" i="67"/>
  <c r="AY129" i="67"/>
  <c r="AX129" i="67"/>
  <c r="AW129" i="67"/>
  <c r="AV129" i="67"/>
  <c r="AU129" i="67"/>
  <c r="AT129" i="67"/>
  <c r="AS129" i="67"/>
  <c r="AR129" i="67"/>
  <c r="AQ129" i="67"/>
  <c r="P129" i="67"/>
  <c r="N129" i="67"/>
  <c r="F129" i="67"/>
  <c r="M129" i="67" s="1"/>
  <c r="AZ128" i="67"/>
  <c r="AY128" i="67"/>
  <c r="AX128" i="67"/>
  <c r="AW128" i="67"/>
  <c r="AV128" i="67"/>
  <c r="AU128" i="67"/>
  <c r="AT128" i="67"/>
  <c r="AS128" i="67"/>
  <c r="AR128" i="67"/>
  <c r="AQ128" i="67"/>
  <c r="H128" i="67" s="1"/>
  <c r="P128" i="67"/>
  <c r="N128" i="67"/>
  <c r="F128" i="67"/>
  <c r="M128" i="67" s="1"/>
  <c r="AZ127" i="67"/>
  <c r="AY127" i="67"/>
  <c r="AX127" i="67"/>
  <c r="AW127" i="67"/>
  <c r="AV127" i="67"/>
  <c r="AU127" i="67"/>
  <c r="AT127" i="67"/>
  <c r="AS127" i="67"/>
  <c r="AR127" i="67"/>
  <c r="H127" i="67" s="1"/>
  <c r="AQ127" i="67"/>
  <c r="P127" i="67"/>
  <c r="N127" i="67"/>
  <c r="F127" i="67"/>
  <c r="M127" i="67" s="1"/>
  <c r="AZ126" i="67"/>
  <c r="AY126" i="67"/>
  <c r="AX126" i="67"/>
  <c r="AW126" i="67"/>
  <c r="AV126" i="67"/>
  <c r="AU126" i="67"/>
  <c r="AT126" i="67"/>
  <c r="AS126" i="67"/>
  <c r="AR126" i="67"/>
  <c r="AQ126" i="67"/>
  <c r="P126" i="67"/>
  <c r="N126" i="67"/>
  <c r="F126" i="67"/>
  <c r="M126" i="67" s="1"/>
  <c r="AZ125" i="67"/>
  <c r="AY125" i="67"/>
  <c r="AX125" i="67"/>
  <c r="AW125" i="67"/>
  <c r="AV125" i="67"/>
  <c r="AU125" i="67"/>
  <c r="AT125" i="67"/>
  <c r="AS125" i="67"/>
  <c r="AR125" i="67"/>
  <c r="AQ125" i="67"/>
  <c r="P125" i="67"/>
  <c r="N125" i="67"/>
  <c r="F125" i="67"/>
  <c r="M125" i="67" s="1"/>
  <c r="AZ124" i="67"/>
  <c r="AY124" i="67"/>
  <c r="AX124" i="67"/>
  <c r="AW124" i="67"/>
  <c r="AV124" i="67"/>
  <c r="AU124" i="67"/>
  <c r="AT124" i="67"/>
  <c r="AS124" i="67"/>
  <c r="AR124" i="67"/>
  <c r="AQ124" i="67"/>
  <c r="H124" i="67" s="1"/>
  <c r="P124" i="67"/>
  <c r="N124" i="67"/>
  <c r="F124" i="67"/>
  <c r="M124" i="67" s="1"/>
  <c r="AZ123" i="67"/>
  <c r="AY123" i="67"/>
  <c r="AX123" i="67"/>
  <c r="AW123" i="67"/>
  <c r="AV123" i="67"/>
  <c r="AU123" i="67"/>
  <c r="AT123" i="67"/>
  <c r="AS123" i="67"/>
  <c r="AR123" i="67"/>
  <c r="H123" i="67" s="1"/>
  <c r="AQ123" i="67"/>
  <c r="P123" i="67"/>
  <c r="N123" i="67"/>
  <c r="F123" i="67"/>
  <c r="M123" i="67" s="1"/>
  <c r="AZ122" i="67"/>
  <c r="AY122" i="67"/>
  <c r="AX122" i="67"/>
  <c r="AW122" i="67"/>
  <c r="AV122" i="67"/>
  <c r="AU122" i="67"/>
  <c r="AT122" i="67"/>
  <c r="AS122" i="67"/>
  <c r="AR122" i="67"/>
  <c r="AQ122" i="67"/>
  <c r="P122" i="67"/>
  <c r="N122" i="67"/>
  <c r="F122" i="67"/>
  <c r="M122" i="67" s="1"/>
  <c r="AZ121" i="67"/>
  <c r="AY121" i="67"/>
  <c r="AX121" i="67"/>
  <c r="AW121" i="67"/>
  <c r="AV121" i="67"/>
  <c r="AU121" i="67"/>
  <c r="AT121" i="67"/>
  <c r="AS121" i="67"/>
  <c r="AR121" i="67"/>
  <c r="AQ121" i="67"/>
  <c r="P121" i="67"/>
  <c r="N121" i="67"/>
  <c r="F121" i="67"/>
  <c r="M121" i="67" s="1"/>
  <c r="AZ120" i="67"/>
  <c r="AY120" i="67"/>
  <c r="AX120" i="67"/>
  <c r="AW120" i="67"/>
  <c r="AV120" i="67"/>
  <c r="AU120" i="67"/>
  <c r="AT120" i="67"/>
  <c r="AS120" i="67"/>
  <c r="AR120" i="67"/>
  <c r="AQ120" i="67"/>
  <c r="P120" i="67"/>
  <c r="N120" i="67"/>
  <c r="F120" i="67"/>
  <c r="M120" i="67" s="1"/>
  <c r="AZ187" i="67"/>
  <c r="AY187" i="67"/>
  <c r="AX187" i="67"/>
  <c r="AW187" i="67"/>
  <c r="AV187" i="67"/>
  <c r="AU187" i="67"/>
  <c r="AT187" i="67"/>
  <c r="AS187" i="67"/>
  <c r="AR187" i="67"/>
  <c r="AQ187" i="67"/>
  <c r="H187" i="67" s="1"/>
  <c r="P187" i="67"/>
  <c r="N187" i="67"/>
  <c r="F187" i="67"/>
  <c r="M187" i="67" s="1"/>
  <c r="AZ186" i="67"/>
  <c r="AY186" i="67"/>
  <c r="AX186" i="67"/>
  <c r="AW186" i="67"/>
  <c r="AV186" i="67"/>
  <c r="AU186" i="67"/>
  <c r="AT186" i="67"/>
  <c r="AS186" i="67"/>
  <c r="H186" i="67" s="1"/>
  <c r="AR186" i="67"/>
  <c r="AQ186" i="67"/>
  <c r="P186" i="67"/>
  <c r="N186" i="67"/>
  <c r="F186" i="67"/>
  <c r="M186" i="67" s="1"/>
  <c r="AZ185" i="67"/>
  <c r="AY185" i="67"/>
  <c r="AX185" i="67"/>
  <c r="AW185" i="67"/>
  <c r="AV185" i="67"/>
  <c r="AU185" i="67"/>
  <c r="AT185" i="67"/>
  <c r="AS185" i="67"/>
  <c r="AR185" i="67"/>
  <c r="AQ185" i="67"/>
  <c r="P185" i="67"/>
  <c r="N185" i="67"/>
  <c r="F185" i="67"/>
  <c r="M185" i="67" s="1"/>
  <c r="AZ184" i="67"/>
  <c r="AY184" i="67"/>
  <c r="AX184" i="67"/>
  <c r="AW184" i="67"/>
  <c r="AV184" i="67"/>
  <c r="AU184" i="67"/>
  <c r="AT184" i="67"/>
  <c r="AS184" i="67"/>
  <c r="AR184" i="67"/>
  <c r="AQ184" i="67"/>
  <c r="H184" i="67" s="1"/>
  <c r="P184" i="67"/>
  <c r="N184" i="67"/>
  <c r="F184" i="67"/>
  <c r="M184" i="67" s="1"/>
  <c r="AZ183" i="67"/>
  <c r="AY183" i="67"/>
  <c r="AX183" i="67"/>
  <c r="AW183" i="67"/>
  <c r="AV183" i="67"/>
  <c r="AU183" i="67"/>
  <c r="AT183" i="67"/>
  <c r="AS183" i="67"/>
  <c r="AR183" i="67"/>
  <c r="AQ183" i="67"/>
  <c r="P183" i="67"/>
  <c r="N183" i="67"/>
  <c r="F183" i="67"/>
  <c r="M183" i="67" s="1"/>
  <c r="AZ182" i="67"/>
  <c r="AY182" i="67"/>
  <c r="AX182" i="67"/>
  <c r="AW182" i="67"/>
  <c r="AV182" i="67"/>
  <c r="AU182" i="67"/>
  <c r="AT182" i="67"/>
  <c r="AS182" i="67"/>
  <c r="AR182" i="67"/>
  <c r="AQ182" i="67"/>
  <c r="P182" i="67"/>
  <c r="N182" i="67"/>
  <c r="F182" i="67"/>
  <c r="M182" i="67" s="1"/>
  <c r="AZ181" i="67"/>
  <c r="AY181" i="67"/>
  <c r="AX181" i="67"/>
  <c r="AW181" i="67"/>
  <c r="AV181" i="67"/>
  <c r="AU181" i="67"/>
  <c r="AT181" i="67"/>
  <c r="AS181" i="67"/>
  <c r="AR181" i="67"/>
  <c r="AQ181" i="67"/>
  <c r="P181" i="67"/>
  <c r="N181" i="67"/>
  <c r="F181" i="67"/>
  <c r="M181" i="67" s="1"/>
  <c r="AZ180" i="67"/>
  <c r="AY180" i="67"/>
  <c r="AX180" i="67"/>
  <c r="AW180" i="67"/>
  <c r="AV180" i="67"/>
  <c r="AU180" i="67"/>
  <c r="AT180" i="67"/>
  <c r="AS180" i="67"/>
  <c r="AR180" i="67"/>
  <c r="AQ180" i="67"/>
  <c r="H180" i="67" s="1"/>
  <c r="P180" i="67"/>
  <c r="N180" i="67"/>
  <c r="F180" i="67"/>
  <c r="M180" i="67" s="1"/>
  <c r="AZ179" i="67"/>
  <c r="AY179" i="67"/>
  <c r="AX179" i="67"/>
  <c r="AW179" i="67"/>
  <c r="AV179" i="67"/>
  <c r="AU179" i="67"/>
  <c r="AT179" i="67"/>
  <c r="AS179" i="67"/>
  <c r="AR179" i="67"/>
  <c r="H179" i="67" s="1"/>
  <c r="AQ179" i="67"/>
  <c r="P179" i="67"/>
  <c r="N179" i="67"/>
  <c r="F179" i="67"/>
  <c r="M179" i="67" s="1"/>
  <c r="AZ178" i="67"/>
  <c r="AY178" i="67"/>
  <c r="AX178" i="67"/>
  <c r="AW178" i="67"/>
  <c r="AV178" i="67"/>
  <c r="AU178" i="67"/>
  <c r="AT178" i="67"/>
  <c r="AS178" i="67"/>
  <c r="AR178" i="67"/>
  <c r="AQ178" i="67"/>
  <c r="P178" i="67"/>
  <c r="N178" i="67"/>
  <c r="F178" i="67"/>
  <c r="M178" i="67" s="1"/>
  <c r="AZ177" i="67"/>
  <c r="AY177" i="67"/>
  <c r="AX177" i="67"/>
  <c r="AW177" i="67"/>
  <c r="AV177" i="67"/>
  <c r="AU177" i="67"/>
  <c r="AT177" i="67"/>
  <c r="AS177" i="67"/>
  <c r="AR177" i="67"/>
  <c r="AQ177" i="67"/>
  <c r="P177" i="67"/>
  <c r="N177" i="67"/>
  <c r="F177" i="67"/>
  <c r="M177" i="67" s="1"/>
  <c r="AZ176" i="67"/>
  <c r="AY176" i="67"/>
  <c r="AX176" i="67"/>
  <c r="AW176" i="67"/>
  <c r="AV176" i="67"/>
  <c r="AU176" i="67"/>
  <c r="AT176" i="67"/>
  <c r="AS176" i="67"/>
  <c r="AR176" i="67"/>
  <c r="AQ176" i="67"/>
  <c r="H176" i="67" s="1"/>
  <c r="P176" i="67"/>
  <c r="N176" i="67"/>
  <c r="F176" i="67"/>
  <c r="M176" i="67" s="1"/>
  <c r="AZ175" i="67"/>
  <c r="AY175" i="67"/>
  <c r="AX175" i="67"/>
  <c r="AW175" i="67"/>
  <c r="AV175" i="67"/>
  <c r="AU175" i="67"/>
  <c r="AT175" i="67"/>
  <c r="AS175" i="67"/>
  <c r="AR175" i="67"/>
  <c r="H175" i="67" s="1"/>
  <c r="AQ175" i="67"/>
  <c r="P175" i="67"/>
  <c r="N175" i="67"/>
  <c r="F175" i="67"/>
  <c r="M175" i="67" s="1"/>
  <c r="AZ174" i="67"/>
  <c r="AY174" i="67"/>
  <c r="AX174" i="67"/>
  <c r="AW174" i="67"/>
  <c r="AV174" i="67"/>
  <c r="AU174" i="67"/>
  <c r="AT174" i="67"/>
  <c r="AS174" i="67"/>
  <c r="AR174" i="67"/>
  <c r="AQ174" i="67"/>
  <c r="P174" i="67"/>
  <c r="N174" i="67"/>
  <c r="F174" i="67"/>
  <c r="M174" i="67" s="1"/>
  <c r="AZ173" i="67"/>
  <c r="AY173" i="67"/>
  <c r="AX173" i="67"/>
  <c r="AW173" i="67"/>
  <c r="AV173" i="67"/>
  <c r="AU173" i="67"/>
  <c r="AT173" i="67"/>
  <c r="AS173" i="67"/>
  <c r="AR173" i="67"/>
  <c r="AQ173" i="67"/>
  <c r="P173" i="67"/>
  <c r="N173" i="67"/>
  <c r="F173" i="67"/>
  <c r="M173" i="67" s="1"/>
  <c r="AZ172" i="67"/>
  <c r="AY172" i="67"/>
  <c r="AX172" i="67"/>
  <c r="AW172" i="67"/>
  <c r="AV172" i="67"/>
  <c r="AU172" i="67"/>
  <c r="AT172" i="67"/>
  <c r="AS172" i="67"/>
  <c r="AR172" i="67"/>
  <c r="AQ172" i="67"/>
  <c r="H172" i="67" s="1"/>
  <c r="P172" i="67"/>
  <c r="N172" i="67"/>
  <c r="F172" i="67"/>
  <c r="M172" i="67" s="1"/>
  <c r="AZ171" i="67"/>
  <c r="AY171" i="67"/>
  <c r="AX171" i="67"/>
  <c r="AW171" i="67"/>
  <c r="AV171" i="67"/>
  <c r="AU171" i="67"/>
  <c r="AT171" i="67"/>
  <c r="AS171" i="67"/>
  <c r="AR171" i="67"/>
  <c r="H171" i="67" s="1"/>
  <c r="AQ171" i="67"/>
  <c r="P171" i="67"/>
  <c r="N171" i="67"/>
  <c r="F171" i="67"/>
  <c r="M171" i="67" s="1"/>
  <c r="AZ170" i="67"/>
  <c r="AY170" i="67"/>
  <c r="AX170" i="67"/>
  <c r="AW170" i="67"/>
  <c r="AV170" i="67"/>
  <c r="AU170" i="67"/>
  <c r="AT170" i="67"/>
  <c r="AS170" i="67"/>
  <c r="AR170" i="67"/>
  <c r="AQ170" i="67"/>
  <c r="P170" i="67"/>
  <c r="N170" i="67"/>
  <c r="F170" i="67"/>
  <c r="M170" i="67" s="1"/>
  <c r="AZ169" i="67"/>
  <c r="AY169" i="67"/>
  <c r="AX169" i="67"/>
  <c r="AW169" i="67"/>
  <c r="AV169" i="67"/>
  <c r="AU169" i="67"/>
  <c r="AT169" i="67"/>
  <c r="AS169" i="67"/>
  <c r="AR169" i="67"/>
  <c r="AQ169" i="67"/>
  <c r="P169" i="67"/>
  <c r="N169" i="67"/>
  <c r="F169" i="67"/>
  <c r="M169" i="67" s="1"/>
  <c r="AZ168" i="67"/>
  <c r="AY168" i="67"/>
  <c r="AX168" i="67"/>
  <c r="AW168" i="67"/>
  <c r="AV168" i="67"/>
  <c r="AU168" i="67"/>
  <c r="AT168" i="67"/>
  <c r="AS168" i="67"/>
  <c r="AR168" i="67"/>
  <c r="AQ168" i="67"/>
  <c r="H168" i="67" s="1"/>
  <c r="P168" i="67"/>
  <c r="N168" i="67"/>
  <c r="F168" i="67"/>
  <c r="M168" i="67" s="1"/>
  <c r="AZ167" i="67"/>
  <c r="AY167" i="67"/>
  <c r="AX167" i="67"/>
  <c r="AW167" i="67"/>
  <c r="AV167" i="67"/>
  <c r="AU167" i="67"/>
  <c r="AT167" i="67"/>
  <c r="AS167" i="67"/>
  <c r="AR167" i="67"/>
  <c r="AQ167" i="67"/>
  <c r="P167" i="67"/>
  <c r="N167" i="67"/>
  <c r="F167" i="67"/>
  <c r="M167" i="67" s="1"/>
  <c r="AZ166" i="67"/>
  <c r="AY166" i="67"/>
  <c r="AX166" i="67"/>
  <c r="AW166" i="67"/>
  <c r="AV166" i="67"/>
  <c r="AU166" i="67"/>
  <c r="AT166" i="67"/>
  <c r="AS166" i="67"/>
  <c r="AR166" i="67"/>
  <c r="AQ166" i="67"/>
  <c r="P166" i="67"/>
  <c r="N166" i="67"/>
  <c r="F166" i="67"/>
  <c r="M166" i="67" s="1"/>
  <c r="AZ165" i="67"/>
  <c r="AY165" i="67"/>
  <c r="AX165" i="67"/>
  <c r="AW165" i="67"/>
  <c r="AV165" i="67"/>
  <c r="AU165" i="67"/>
  <c r="AT165" i="67"/>
  <c r="AS165" i="67"/>
  <c r="AR165" i="67"/>
  <c r="AQ165" i="67"/>
  <c r="P165" i="67"/>
  <c r="N165" i="67"/>
  <c r="F165" i="67"/>
  <c r="M165" i="67" s="1"/>
  <c r="AZ164" i="67"/>
  <c r="AY164" i="67"/>
  <c r="AX164" i="67"/>
  <c r="AW164" i="67"/>
  <c r="AV164" i="67"/>
  <c r="AU164" i="67"/>
  <c r="AT164" i="67"/>
  <c r="AS164" i="67"/>
  <c r="AR164" i="67"/>
  <c r="AQ164" i="67"/>
  <c r="H164" i="67" s="1"/>
  <c r="P164" i="67"/>
  <c r="N164" i="67"/>
  <c r="F164" i="67"/>
  <c r="M164" i="67" s="1"/>
  <c r="AZ163" i="67"/>
  <c r="AY163" i="67"/>
  <c r="AX163" i="67"/>
  <c r="AW163" i="67"/>
  <c r="AV163" i="67"/>
  <c r="AU163" i="67"/>
  <c r="AT163" i="67"/>
  <c r="AS163" i="67"/>
  <c r="AR163" i="67"/>
  <c r="H163" i="67" s="1"/>
  <c r="AQ163" i="67"/>
  <c r="P163" i="67"/>
  <c r="N163" i="67"/>
  <c r="F163" i="67"/>
  <c r="M163" i="67" s="1"/>
  <c r="AZ162" i="67"/>
  <c r="AY162" i="67"/>
  <c r="AX162" i="67"/>
  <c r="AW162" i="67"/>
  <c r="AV162" i="67"/>
  <c r="AU162" i="67"/>
  <c r="AT162" i="67"/>
  <c r="AS162" i="67"/>
  <c r="AR162" i="67"/>
  <c r="AQ162" i="67"/>
  <c r="P162" i="67"/>
  <c r="N162" i="67"/>
  <c r="F162" i="67"/>
  <c r="M162" i="67" s="1"/>
  <c r="AZ161" i="67"/>
  <c r="AY161" i="67"/>
  <c r="AX161" i="67"/>
  <c r="AW161" i="67"/>
  <c r="AV161" i="67"/>
  <c r="AU161" i="67"/>
  <c r="AT161" i="67"/>
  <c r="AS161" i="67"/>
  <c r="AR161" i="67"/>
  <c r="AQ161" i="67"/>
  <c r="P161" i="67"/>
  <c r="N161" i="67"/>
  <c r="F161" i="67"/>
  <c r="M161" i="67" s="1"/>
  <c r="AZ160" i="67"/>
  <c r="AY160" i="67"/>
  <c r="AX160" i="67"/>
  <c r="AW160" i="67"/>
  <c r="AV160" i="67"/>
  <c r="AU160" i="67"/>
  <c r="AT160" i="67"/>
  <c r="AS160" i="67"/>
  <c r="AR160" i="67"/>
  <c r="AQ160" i="67"/>
  <c r="H160" i="67" s="1"/>
  <c r="P160" i="67"/>
  <c r="N160" i="67"/>
  <c r="F160" i="67"/>
  <c r="M160" i="67" s="1"/>
  <c r="AZ159" i="67"/>
  <c r="AY159" i="67"/>
  <c r="AX159" i="67"/>
  <c r="AW159" i="67"/>
  <c r="AV159" i="67"/>
  <c r="AU159" i="67"/>
  <c r="AT159" i="67"/>
  <c r="AS159" i="67"/>
  <c r="AR159" i="67"/>
  <c r="H159" i="67" s="1"/>
  <c r="AQ159" i="67"/>
  <c r="P159" i="67"/>
  <c r="N159" i="67"/>
  <c r="F159" i="67"/>
  <c r="M159" i="67" s="1"/>
  <c r="AZ158" i="67"/>
  <c r="AY158" i="67"/>
  <c r="AX158" i="67"/>
  <c r="AW158" i="67"/>
  <c r="AV158" i="67"/>
  <c r="AU158" i="67"/>
  <c r="AT158" i="67"/>
  <c r="AS158" i="67"/>
  <c r="AR158" i="67"/>
  <c r="AQ158" i="67"/>
  <c r="P158" i="67"/>
  <c r="N158" i="67"/>
  <c r="F158" i="67"/>
  <c r="M158" i="67" s="1"/>
  <c r="AZ157" i="67"/>
  <c r="AY157" i="67"/>
  <c r="AX157" i="67"/>
  <c r="AW157" i="67"/>
  <c r="AV157" i="67"/>
  <c r="AU157" i="67"/>
  <c r="AT157" i="67"/>
  <c r="AS157" i="67"/>
  <c r="AR157" i="67"/>
  <c r="AQ157" i="67"/>
  <c r="P157" i="67"/>
  <c r="N157" i="67"/>
  <c r="F157" i="67"/>
  <c r="M157" i="67" s="1"/>
  <c r="AZ156" i="67"/>
  <c r="AY156" i="67"/>
  <c r="AX156" i="67"/>
  <c r="AW156" i="67"/>
  <c r="AV156" i="67"/>
  <c r="AU156" i="67"/>
  <c r="AT156" i="67"/>
  <c r="AS156" i="67"/>
  <c r="AR156" i="67"/>
  <c r="AQ156" i="67"/>
  <c r="H156" i="67" s="1"/>
  <c r="P156" i="67"/>
  <c r="N156" i="67"/>
  <c r="F156" i="67"/>
  <c r="M156" i="67" s="1"/>
  <c r="AZ155" i="67"/>
  <c r="AY155" i="67"/>
  <c r="AX155" i="67"/>
  <c r="AW155" i="67"/>
  <c r="AV155" i="67"/>
  <c r="AU155" i="67"/>
  <c r="AT155" i="67"/>
  <c r="AS155" i="67"/>
  <c r="AR155" i="67"/>
  <c r="H155" i="67" s="1"/>
  <c r="AQ155" i="67"/>
  <c r="P155" i="67"/>
  <c r="N155" i="67"/>
  <c r="F155" i="67"/>
  <c r="M155" i="67" s="1"/>
  <c r="AZ154" i="67"/>
  <c r="AY154" i="67"/>
  <c r="AX154" i="67"/>
  <c r="AW154" i="67"/>
  <c r="AV154" i="67"/>
  <c r="AU154" i="67"/>
  <c r="AT154" i="67"/>
  <c r="AS154" i="67"/>
  <c r="AR154" i="67"/>
  <c r="AQ154" i="67"/>
  <c r="P154" i="67"/>
  <c r="N154" i="67"/>
  <c r="F154" i="67"/>
  <c r="M154" i="67" s="1"/>
  <c r="AC80" i="67"/>
  <c r="AC81" i="67"/>
  <c r="AC82" i="67"/>
  <c r="AC83" i="67"/>
  <c r="AC84" i="67"/>
  <c r="AC85" i="67"/>
  <c r="AC86" i="67"/>
  <c r="AC38" i="67"/>
  <c r="AC39" i="67"/>
  <c r="AC40" i="67"/>
  <c r="AC41" i="67"/>
  <c r="AC42" i="67"/>
  <c r="AC43" i="67"/>
  <c r="AC44" i="67"/>
  <c r="AC45" i="67"/>
  <c r="BT68" i="67"/>
  <c r="BS68" i="67"/>
  <c r="BR68" i="67"/>
  <c r="BQ68" i="67"/>
  <c r="BP68" i="67"/>
  <c r="BO68" i="67"/>
  <c r="BN68" i="67"/>
  <c r="BM68" i="67"/>
  <c r="BL68" i="67"/>
  <c r="BK68" i="67"/>
  <c r="BJ68" i="67"/>
  <c r="BI68" i="67"/>
  <c r="BH68" i="67"/>
  <c r="BG68" i="67"/>
  <c r="BF68" i="67"/>
  <c r="BE68" i="67"/>
  <c r="BC68" i="67"/>
  <c r="BB68" i="67"/>
  <c r="BA68" i="67"/>
  <c r="AZ68" i="67"/>
  <c r="AY68" i="67"/>
  <c r="AX68" i="67"/>
  <c r="AW68" i="67"/>
  <c r="AV68" i="67"/>
  <c r="AU68" i="67"/>
  <c r="AG68" i="67"/>
  <c r="AE68" i="67"/>
  <c r="AC68" i="67"/>
  <c r="AB68" i="67"/>
  <c r="AA68" i="67"/>
  <c r="Z68" i="67"/>
  <c r="Y68" i="67"/>
  <c r="X68" i="67"/>
  <c r="W68" i="67"/>
  <c r="V68" i="67"/>
  <c r="U68" i="67"/>
  <c r="T68" i="67"/>
  <c r="S68" i="67"/>
  <c r="R68" i="67"/>
  <c r="Q68" i="67"/>
  <c r="J68" i="67"/>
  <c r="F68" i="67"/>
  <c r="BT67" i="67"/>
  <c r="BS67" i="67"/>
  <c r="BR67" i="67"/>
  <c r="BQ67" i="67"/>
  <c r="BP67" i="67"/>
  <c r="BO67" i="67"/>
  <c r="BN67" i="67"/>
  <c r="BM67" i="67"/>
  <c r="BL67" i="67"/>
  <c r="BK67" i="67"/>
  <c r="BJ67" i="67"/>
  <c r="BI67" i="67"/>
  <c r="BH67" i="67"/>
  <c r="BG67" i="67"/>
  <c r="BF67" i="67"/>
  <c r="BE67" i="67"/>
  <c r="BC67" i="67"/>
  <c r="BB67" i="67"/>
  <c r="BA67" i="67"/>
  <c r="AZ67" i="67"/>
  <c r="AY67" i="67"/>
  <c r="AX67" i="67"/>
  <c r="AW67" i="67"/>
  <c r="AV67" i="67"/>
  <c r="AU67" i="67"/>
  <c r="AG67" i="67"/>
  <c r="AE67" i="67"/>
  <c r="AC67" i="67"/>
  <c r="AB67" i="67"/>
  <c r="AA67" i="67"/>
  <c r="Z67" i="67"/>
  <c r="Y67" i="67"/>
  <c r="X67" i="67"/>
  <c r="W67" i="67"/>
  <c r="V67" i="67"/>
  <c r="U67" i="67"/>
  <c r="T67" i="67"/>
  <c r="R67" i="67"/>
  <c r="Q67" i="67"/>
  <c r="J67" i="67"/>
  <c r="F67" i="67"/>
  <c r="BT66" i="67"/>
  <c r="BS66" i="67"/>
  <c r="BR66" i="67"/>
  <c r="BQ66" i="67"/>
  <c r="BP66" i="67"/>
  <c r="BO66" i="67"/>
  <c r="BN66" i="67"/>
  <c r="BM66" i="67"/>
  <c r="BL66" i="67"/>
  <c r="BK66" i="67"/>
  <c r="BJ66" i="67"/>
  <c r="BI66" i="67"/>
  <c r="BH66" i="67"/>
  <c r="BG66" i="67"/>
  <c r="BF66" i="67"/>
  <c r="BE66" i="67"/>
  <c r="BC66" i="67"/>
  <c r="BB66" i="67"/>
  <c r="BA66" i="67"/>
  <c r="AZ66" i="67"/>
  <c r="AY66" i="67"/>
  <c r="AX66" i="67"/>
  <c r="AW66" i="67"/>
  <c r="AV66" i="67"/>
  <c r="AU66" i="67"/>
  <c r="AG66" i="67"/>
  <c r="AE66" i="67"/>
  <c r="AC66" i="67"/>
  <c r="AB66" i="67"/>
  <c r="AA66" i="67"/>
  <c r="Z66" i="67"/>
  <c r="Y66" i="67"/>
  <c r="X66" i="67"/>
  <c r="W66" i="67"/>
  <c r="V66" i="67"/>
  <c r="U66" i="67"/>
  <c r="T66" i="67"/>
  <c r="S66" i="67"/>
  <c r="R66" i="67"/>
  <c r="Q66" i="67"/>
  <c r="J66" i="67"/>
  <c r="F66" i="67"/>
  <c r="BT65" i="67"/>
  <c r="BS65" i="67"/>
  <c r="BR65" i="67"/>
  <c r="BQ65" i="67"/>
  <c r="BP65" i="67"/>
  <c r="BO65" i="67"/>
  <c r="BN65" i="67"/>
  <c r="BM65" i="67"/>
  <c r="BL65" i="67"/>
  <c r="BK65" i="67"/>
  <c r="BJ65" i="67"/>
  <c r="BI65" i="67"/>
  <c r="BH65" i="67"/>
  <c r="BG65" i="67"/>
  <c r="BF65" i="67"/>
  <c r="BE65" i="67"/>
  <c r="BC65" i="67"/>
  <c r="BB65" i="67"/>
  <c r="BA65" i="67"/>
  <c r="AZ65" i="67"/>
  <c r="AY65" i="67"/>
  <c r="AX65" i="67"/>
  <c r="AW65" i="67"/>
  <c r="AV65" i="67"/>
  <c r="AU65" i="67"/>
  <c r="AG65" i="67"/>
  <c r="AE65" i="67"/>
  <c r="AC65" i="67"/>
  <c r="AB65" i="67"/>
  <c r="AA65" i="67"/>
  <c r="Z65" i="67"/>
  <c r="Y65" i="67"/>
  <c r="X65" i="67"/>
  <c r="W65" i="67"/>
  <c r="V65" i="67"/>
  <c r="U65" i="67"/>
  <c r="T65" i="67"/>
  <c r="S65" i="67"/>
  <c r="R65" i="67"/>
  <c r="Q65" i="67"/>
  <c r="J65" i="67"/>
  <c r="F65" i="67"/>
  <c r="BT64" i="67"/>
  <c r="BS64" i="67"/>
  <c r="BR64" i="67"/>
  <c r="BQ64" i="67"/>
  <c r="BP64" i="67"/>
  <c r="BO64" i="67"/>
  <c r="BN64" i="67"/>
  <c r="BM64" i="67"/>
  <c r="BL64" i="67"/>
  <c r="BK64" i="67"/>
  <c r="BJ64" i="67"/>
  <c r="BI64" i="67"/>
  <c r="BH64" i="67"/>
  <c r="BG64" i="67"/>
  <c r="BF64" i="67"/>
  <c r="BE64" i="67"/>
  <c r="BC64" i="67"/>
  <c r="BB64" i="67"/>
  <c r="BA64" i="67"/>
  <c r="AZ64" i="67"/>
  <c r="AY64" i="67"/>
  <c r="AX64" i="67"/>
  <c r="AW64" i="67"/>
  <c r="AV64" i="67"/>
  <c r="AU64" i="67"/>
  <c r="AG64" i="67"/>
  <c r="AE64" i="67"/>
  <c r="AC64" i="67"/>
  <c r="AB64" i="67"/>
  <c r="AA64" i="67"/>
  <c r="Z64" i="67"/>
  <c r="Y64" i="67"/>
  <c r="X64" i="67"/>
  <c r="W64" i="67"/>
  <c r="V64" i="67"/>
  <c r="U64" i="67"/>
  <c r="T64" i="67"/>
  <c r="S64" i="67"/>
  <c r="R64" i="67"/>
  <c r="Q64" i="67"/>
  <c r="J64" i="67"/>
  <c r="F64" i="67"/>
  <c r="BT63" i="67"/>
  <c r="BS63" i="67"/>
  <c r="BR63" i="67"/>
  <c r="BQ63" i="67"/>
  <c r="BP63" i="67"/>
  <c r="BO63" i="67"/>
  <c r="BN63" i="67"/>
  <c r="BM63" i="67"/>
  <c r="BL63" i="67"/>
  <c r="BK63" i="67"/>
  <c r="BJ63" i="67"/>
  <c r="BI63" i="67"/>
  <c r="BH63" i="67"/>
  <c r="BG63" i="67"/>
  <c r="BF63" i="67"/>
  <c r="BE63" i="67"/>
  <c r="BC63" i="67"/>
  <c r="BB63" i="67"/>
  <c r="BA63" i="67"/>
  <c r="AZ63" i="67"/>
  <c r="AY63" i="67"/>
  <c r="AX63" i="67"/>
  <c r="AW63" i="67"/>
  <c r="AV63" i="67"/>
  <c r="AU63" i="67"/>
  <c r="AG63" i="67"/>
  <c r="AE63" i="67"/>
  <c r="AC63" i="67"/>
  <c r="AB63" i="67"/>
  <c r="AA63" i="67"/>
  <c r="Z63" i="67"/>
  <c r="Y63" i="67"/>
  <c r="X63" i="67"/>
  <c r="W63" i="67"/>
  <c r="V63" i="67"/>
  <c r="U63" i="67"/>
  <c r="T63" i="67"/>
  <c r="S63" i="67"/>
  <c r="R63" i="67"/>
  <c r="Q63" i="67"/>
  <c r="J63" i="67"/>
  <c r="F63" i="67"/>
  <c r="BT62" i="67"/>
  <c r="BS62" i="67"/>
  <c r="BR62" i="67"/>
  <c r="BQ62" i="67"/>
  <c r="BP62" i="67"/>
  <c r="BO62" i="67"/>
  <c r="BN62" i="67"/>
  <c r="BM62" i="67"/>
  <c r="BL62" i="67"/>
  <c r="BK62" i="67"/>
  <c r="BJ62" i="67"/>
  <c r="BI62" i="67"/>
  <c r="BH62" i="67"/>
  <c r="BG62" i="67"/>
  <c r="BF62" i="67"/>
  <c r="BE62" i="67"/>
  <c r="BD62" i="67"/>
  <c r="BC62" i="67"/>
  <c r="BB62" i="67"/>
  <c r="BA62" i="67"/>
  <c r="AZ62" i="67"/>
  <c r="AY62" i="67"/>
  <c r="AX62" i="67"/>
  <c r="AW62" i="67"/>
  <c r="AV62" i="67"/>
  <c r="AU62" i="67"/>
  <c r="AG62" i="67"/>
  <c r="AE62" i="67"/>
  <c r="AC62" i="67"/>
  <c r="AB62" i="67"/>
  <c r="AA62" i="67"/>
  <c r="Z62" i="67"/>
  <c r="Y62" i="67"/>
  <c r="X62" i="67"/>
  <c r="W62" i="67"/>
  <c r="V62" i="67"/>
  <c r="U62" i="67"/>
  <c r="T62" i="67"/>
  <c r="S62" i="67"/>
  <c r="R62" i="67"/>
  <c r="Q62" i="67"/>
  <c r="J62" i="67"/>
  <c r="F62" i="67"/>
  <c r="BT61" i="67"/>
  <c r="BS61" i="67"/>
  <c r="BR61" i="67"/>
  <c r="BQ61" i="67"/>
  <c r="BP61" i="67"/>
  <c r="BO61" i="67"/>
  <c r="BN61" i="67"/>
  <c r="BM61" i="67"/>
  <c r="BL61" i="67"/>
  <c r="BK61" i="67"/>
  <c r="BJ61" i="67"/>
  <c r="BI61" i="67"/>
  <c r="BH61" i="67"/>
  <c r="BG61" i="67"/>
  <c r="BF61" i="67"/>
  <c r="BE61" i="67"/>
  <c r="BD61" i="67"/>
  <c r="BC61" i="67"/>
  <c r="BB61" i="67"/>
  <c r="BA61" i="67"/>
  <c r="AZ61" i="67"/>
  <c r="AY61" i="67"/>
  <c r="AX61" i="67"/>
  <c r="AW61" i="67"/>
  <c r="AV61" i="67"/>
  <c r="AU61" i="67"/>
  <c r="AG61" i="67"/>
  <c r="AE61" i="67"/>
  <c r="AC61" i="67"/>
  <c r="AB61" i="67"/>
  <c r="AA61" i="67"/>
  <c r="Y61" i="67"/>
  <c r="X61" i="67"/>
  <c r="W61" i="67"/>
  <c r="V61" i="67"/>
  <c r="U61" i="67"/>
  <c r="T61" i="67"/>
  <c r="S61" i="67"/>
  <c r="R61" i="67"/>
  <c r="Q61" i="67"/>
  <c r="J61" i="67"/>
  <c r="F61" i="67"/>
  <c r="BT60" i="67"/>
  <c r="BS60" i="67"/>
  <c r="BR60" i="67"/>
  <c r="BQ60" i="67"/>
  <c r="BP60" i="67"/>
  <c r="BO60" i="67"/>
  <c r="BN60" i="67"/>
  <c r="BM60" i="67"/>
  <c r="BL60" i="67"/>
  <c r="BK60" i="67"/>
  <c r="BJ60" i="67"/>
  <c r="BI60" i="67"/>
  <c r="BH60" i="67"/>
  <c r="BG60" i="67"/>
  <c r="BF60" i="67"/>
  <c r="BE60" i="67"/>
  <c r="BD60" i="67"/>
  <c r="BC60" i="67"/>
  <c r="BB60" i="67"/>
  <c r="BA60" i="67"/>
  <c r="AZ60" i="67"/>
  <c r="AY60" i="67"/>
  <c r="AX60" i="67"/>
  <c r="AW60" i="67"/>
  <c r="AV60" i="67"/>
  <c r="AU60" i="67"/>
  <c r="AG60" i="67"/>
  <c r="AE60" i="67"/>
  <c r="AC60" i="67"/>
  <c r="AB60" i="67"/>
  <c r="AA60" i="67"/>
  <c r="Y60" i="67"/>
  <c r="X60" i="67"/>
  <c r="W60" i="67"/>
  <c r="V60" i="67"/>
  <c r="U60" i="67"/>
  <c r="T60" i="67"/>
  <c r="S60" i="67"/>
  <c r="R60" i="67"/>
  <c r="Q60" i="67"/>
  <c r="J60" i="67"/>
  <c r="F60" i="67"/>
  <c r="BT59" i="67"/>
  <c r="BS59" i="67"/>
  <c r="BR59" i="67"/>
  <c r="BQ59" i="67"/>
  <c r="BP59" i="67"/>
  <c r="BO59" i="67"/>
  <c r="BN59" i="67"/>
  <c r="BM59" i="67"/>
  <c r="BL59" i="67"/>
  <c r="BK59" i="67"/>
  <c r="BJ59" i="67"/>
  <c r="BI59" i="67"/>
  <c r="BH59" i="67"/>
  <c r="BG59" i="67"/>
  <c r="BF59" i="67"/>
  <c r="BE59" i="67"/>
  <c r="BD59" i="67"/>
  <c r="BC59" i="67"/>
  <c r="BB59" i="67"/>
  <c r="BA59" i="67"/>
  <c r="AZ59" i="67"/>
  <c r="AY59" i="67"/>
  <c r="AX59" i="67"/>
  <c r="AW59" i="67"/>
  <c r="AV59" i="67"/>
  <c r="AU59" i="67"/>
  <c r="AG59" i="67"/>
  <c r="AE59" i="67"/>
  <c r="AC59" i="67"/>
  <c r="AB59" i="67"/>
  <c r="AA59" i="67"/>
  <c r="Y59" i="67"/>
  <c r="X59" i="67"/>
  <c r="W59" i="67"/>
  <c r="V59" i="67"/>
  <c r="U59" i="67"/>
  <c r="T59" i="67"/>
  <c r="S59" i="67"/>
  <c r="R59" i="67"/>
  <c r="Q59" i="67"/>
  <c r="J59" i="67"/>
  <c r="F59" i="67"/>
  <c r="BT58" i="67"/>
  <c r="BS58" i="67"/>
  <c r="BR58" i="67"/>
  <c r="BQ58" i="67"/>
  <c r="BP58" i="67"/>
  <c r="BO58" i="67"/>
  <c r="BN58" i="67"/>
  <c r="BM58" i="67"/>
  <c r="BL58" i="67"/>
  <c r="BK58" i="67"/>
  <c r="BJ58" i="67"/>
  <c r="BI58" i="67"/>
  <c r="BH58" i="67"/>
  <c r="BG58" i="67"/>
  <c r="BF58" i="67"/>
  <c r="BE58" i="67"/>
  <c r="BD58" i="67"/>
  <c r="BC58" i="67"/>
  <c r="BB58" i="67"/>
  <c r="BA58" i="67"/>
  <c r="AZ58" i="67"/>
  <c r="AY58" i="67"/>
  <c r="AX58" i="67"/>
  <c r="AW58" i="67"/>
  <c r="AV58" i="67"/>
  <c r="AU58" i="67"/>
  <c r="AG58" i="67"/>
  <c r="AE58" i="67"/>
  <c r="AC58" i="67"/>
  <c r="AB58" i="67"/>
  <c r="AA58" i="67"/>
  <c r="Y58" i="67"/>
  <c r="X58" i="67"/>
  <c r="W58" i="67"/>
  <c r="V58" i="67"/>
  <c r="U58" i="67"/>
  <c r="T58" i="67"/>
  <c r="S58" i="67"/>
  <c r="R58" i="67"/>
  <c r="Q58" i="67"/>
  <c r="J58" i="67"/>
  <c r="F58" i="67"/>
  <c r="BT57" i="67"/>
  <c r="BS57" i="67"/>
  <c r="BR57" i="67"/>
  <c r="BQ57" i="67"/>
  <c r="BP57" i="67"/>
  <c r="BO57" i="67"/>
  <c r="BN57" i="67"/>
  <c r="BM57" i="67"/>
  <c r="BL57" i="67"/>
  <c r="BK57" i="67"/>
  <c r="BJ57" i="67"/>
  <c r="BI57" i="67"/>
  <c r="BH57" i="67"/>
  <c r="BG57" i="67"/>
  <c r="BF57" i="67"/>
  <c r="BE57" i="67"/>
  <c r="BD57" i="67"/>
  <c r="BC57" i="67"/>
  <c r="BB57" i="67"/>
  <c r="BA57" i="67"/>
  <c r="AZ57" i="67"/>
  <c r="AY57" i="67"/>
  <c r="AX57" i="67"/>
  <c r="AW57" i="67"/>
  <c r="AV57" i="67"/>
  <c r="AU57" i="67"/>
  <c r="AG57" i="67"/>
  <c r="AE57" i="67"/>
  <c r="AC57" i="67"/>
  <c r="AB57" i="67"/>
  <c r="AA57" i="67"/>
  <c r="Y57" i="67"/>
  <c r="X57" i="67"/>
  <c r="W57" i="67"/>
  <c r="V57" i="67"/>
  <c r="U57" i="67"/>
  <c r="T57" i="67"/>
  <c r="S57" i="67"/>
  <c r="R57" i="67"/>
  <c r="Q57" i="67"/>
  <c r="J57" i="67"/>
  <c r="F57" i="67"/>
  <c r="BT56" i="67"/>
  <c r="BS56" i="67"/>
  <c r="BR56" i="67"/>
  <c r="BQ56" i="67"/>
  <c r="BP56" i="67"/>
  <c r="BO56" i="67"/>
  <c r="BN56" i="67"/>
  <c r="BM56" i="67"/>
  <c r="BL56" i="67"/>
  <c r="BK56" i="67"/>
  <c r="BJ56" i="67"/>
  <c r="BI56" i="67"/>
  <c r="BH56" i="67"/>
  <c r="BG56" i="67"/>
  <c r="BF56" i="67"/>
  <c r="BE56" i="67"/>
  <c r="BD56" i="67"/>
  <c r="BC56" i="67"/>
  <c r="BB56" i="67"/>
  <c r="BA56" i="67"/>
  <c r="AZ56" i="67"/>
  <c r="AY56" i="67"/>
  <c r="AX56" i="67"/>
  <c r="AW56" i="67"/>
  <c r="AV56" i="67"/>
  <c r="AU56" i="67"/>
  <c r="AG56" i="67"/>
  <c r="AE56" i="67"/>
  <c r="AC56" i="67"/>
  <c r="AB56" i="67"/>
  <c r="AA56" i="67"/>
  <c r="Z56" i="67"/>
  <c r="Y56" i="67"/>
  <c r="X56" i="67"/>
  <c r="W56" i="67"/>
  <c r="V56" i="67"/>
  <c r="U56" i="67"/>
  <c r="T56" i="67"/>
  <c r="S56" i="67"/>
  <c r="R56" i="67"/>
  <c r="Q56" i="67"/>
  <c r="J56" i="67"/>
  <c r="F56" i="67"/>
  <c r="BT55" i="67"/>
  <c r="BS55" i="67"/>
  <c r="BR55" i="67"/>
  <c r="BQ55" i="67"/>
  <c r="BP55" i="67"/>
  <c r="BO55" i="67"/>
  <c r="BN55" i="67"/>
  <c r="BM55" i="67"/>
  <c r="BL55" i="67"/>
  <c r="BK55" i="67"/>
  <c r="BJ55" i="67"/>
  <c r="BI55" i="67"/>
  <c r="BH55" i="67"/>
  <c r="BG55" i="67"/>
  <c r="BF55" i="67"/>
  <c r="BE55" i="67"/>
  <c r="BD55" i="67"/>
  <c r="BC55" i="67"/>
  <c r="BB55" i="67"/>
  <c r="BA55" i="67"/>
  <c r="AZ55" i="67"/>
  <c r="AY55" i="67"/>
  <c r="AX55" i="67"/>
  <c r="AW55" i="67"/>
  <c r="AV55" i="67"/>
  <c r="AU55" i="67"/>
  <c r="AG55" i="67"/>
  <c r="AE55" i="67"/>
  <c r="AC55" i="67"/>
  <c r="AB55" i="67"/>
  <c r="AA55" i="67"/>
  <c r="Z55" i="67"/>
  <c r="Y55" i="67"/>
  <c r="X55" i="67"/>
  <c r="V55" i="67"/>
  <c r="U55" i="67"/>
  <c r="T55" i="67"/>
  <c r="S55" i="67"/>
  <c r="R55" i="67"/>
  <c r="Q55" i="67"/>
  <c r="J55" i="67"/>
  <c r="F55" i="67"/>
  <c r="BT54" i="67"/>
  <c r="BS54" i="67"/>
  <c r="BR54" i="67"/>
  <c r="BQ54" i="67"/>
  <c r="BP54" i="67"/>
  <c r="BO54" i="67"/>
  <c r="BN54" i="67"/>
  <c r="BM54" i="67"/>
  <c r="BL54" i="67"/>
  <c r="BK54" i="67"/>
  <c r="BJ54" i="67"/>
  <c r="BI54" i="67"/>
  <c r="BH54" i="67"/>
  <c r="BG54" i="67"/>
  <c r="BF54" i="67"/>
  <c r="BE54" i="67"/>
  <c r="BD54" i="67"/>
  <c r="BC54" i="67"/>
  <c r="BB54" i="67"/>
  <c r="BA54" i="67"/>
  <c r="AZ54" i="67"/>
  <c r="AY54" i="67"/>
  <c r="AX54" i="67"/>
  <c r="AW54" i="67"/>
  <c r="AV54" i="67"/>
  <c r="AU54" i="67"/>
  <c r="AG54" i="67"/>
  <c r="AE54" i="67"/>
  <c r="AC54" i="67"/>
  <c r="AB54" i="67"/>
  <c r="AA54" i="67"/>
  <c r="Z54" i="67"/>
  <c r="Y54" i="67"/>
  <c r="X54" i="67"/>
  <c r="V54" i="67"/>
  <c r="U54" i="67"/>
  <c r="T54" i="67"/>
  <c r="S54" i="67"/>
  <c r="R54" i="67"/>
  <c r="Q54" i="67"/>
  <c r="J54" i="67"/>
  <c r="F54" i="67"/>
  <c r="BT53" i="67"/>
  <c r="BS53" i="67"/>
  <c r="BR53" i="67"/>
  <c r="BQ53" i="67"/>
  <c r="BP53" i="67"/>
  <c r="BO53" i="67"/>
  <c r="BN53" i="67"/>
  <c r="BM53" i="67"/>
  <c r="BL53" i="67"/>
  <c r="BK53" i="67"/>
  <c r="BJ53" i="67"/>
  <c r="BI53" i="67"/>
  <c r="BH53" i="67"/>
  <c r="BG53" i="67"/>
  <c r="BF53" i="67"/>
  <c r="BE53" i="67"/>
  <c r="BD53" i="67"/>
  <c r="BC53" i="67"/>
  <c r="BB53" i="67"/>
  <c r="BA53" i="67"/>
  <c r="AZ53" i="67"/>
  <c r="AY53" i="67"/>
  <c r="AX53" i="67"/>
  <c r="AW53" i="67"/>
  <c r="AV53" i="67"/>
  <c r="AU53" i="67"/>
  <c r="AG53" i="67"/>
  <c r="AE53" i="67"/>
  <c r="AC53" i="67"/>
  <c r="AB53" i="67"/>
  <c r="AA53" i="67"/>
  <c r="Z53" i="67"/>
  <c r="Y53" i="67"/>
  <c r="X53" i="67"/>
  <c r="V53" i="67"/>
  <c r="U53" i="67"/>
  <c r="T53" i="67"/>
  <c r="S53" i="67"/>
  <c r="R53" i="67"/>
  <c r="Q53" i="67"/>
  <c r="J53" i="67"/>
  <c r="F53" i="67"/>
  <c r="BT52" i="67"/>
  <c r="BS52" i="67"/>
  <c r="BR52" i="67"/>
  <c r="BQ52" i="67"/>
  <c r="BP52" i="67"/>
  <c r="BO52" i="67"/>
  <c r="BN52" i="67"/>
  <c r="BM52" i="67"/>
  <c r="BL52" i="67"/>
  <c r="BK52" i="67"/>
  <c r="BJ52" i="67"/>
  <c r="BI52" i="67"/>
  <c r="BH52" i="67"/>
  <c r="BG52" i="67"/>
  <c r="BF52" i="67"/>
  <c r="BE52" i="67"/>
  <c r="BD52" i="67"/>
  <c r="BC52" i="67"/>
  <c r="BB52" i="67"/>
  <c r="BA52" i="67"/>
  <c r="AZ52" i="67"/>
  <c r="AY52" i="67"/>
  <c r="AX52" i="67"/>
  <c r="AW52" i="67"/>
  <c r="AV52" i="67"/>
  <c r="AU52" i="67"/>
  <c r="AG52" i="67"/>
  <c r="AE52" i="67"/>
  <c r="AC52" i="67"/>
  <c r="AB52" i="67"/>
  <c r="AA52" i="67"/>
  <c r="Z52" i="67"/>
  <c r="Y52" i="67"/>
  <c r="X52" i="67"/>
  <c r="V52" i="67"/>
  <c r="U52" i="67"/>
  <c r="T52" i="67"/>
  <c r="S52" i="67"/>
  <c r="R52" i="67"/>
  <c r="Q52" i="67"/>
  <c r="J52" i="67"/>
  <c r="F52" i="67"/>
  <c r="BT51" i="67"/>
  <c r="BS51" i="67"/>
  <c r="BR51" i="67"/>
  <c r="BQ51" i="67"/>
  <c r="BP51" i="67"/>
  <c r="BO51" i="67"/>
  <c r="BN51" i="67"/>
  <c r="BM51" i="67"/>
  <c r="BL51" i="67"/>
  <c r="BK51" i="67"/>
  <c r="BJ51" i="67"/>
  <c r="BI51" i="67"/>
  <c r="BH51" i="67"/>
  <c r="BG51" i="67"/>
  <c r="BF51" i="67"/>
  <c r="BE51" i="67"/>
  <c r="BD51" i="67"/>
  <c r="BC51" i="67"/>
  <c r="BB51" i="67"/>
  <c r="BA51" i="67"/>
  <c r="AZ51" i="67"/>
  <c r="AY51" i="67"/>
  <c r="AX51" i="67"/>
  <c r="AW51" i="67"/>
  <c r="AV51" i="67"/>
  <c r="AU51" i="67"/>
  <c r="AG51" i="67"/>
  <c r="AE51" i="67"/>
  <c r="AC51" i="67"/>
  <c r="AB51" i="67"/>
  <c r="AA51" i="67"/>
  <c r="Z51" i="67"/>
  <c r="Y51" i="67"/>
  <c r="X51" i="67"/>
  <c r="V51" i="67"/>
  <c r="U51" i="67"/>
  <c r="T51" i="67"/>
  <c r="S51" i="67"/>
  <c r="R51" i="67"/>
  <c r="Q51" i="67"/>
  <c r="J51" i="67"/>
  <c r="F51" i="67"/>
  <c r="BT50" i="67"/>
  <c r="BS50" i="67"/>
  <c r="BR50" i="67"/>
  <c r="BQ50" i="67"/>
  <c r="BP50" i="67"/>
  <c r="BO50" i="67"/>
  <c r="BN50" i="67"/>
  <c r="BM50" i="67"/>
  <c r="BL50" i="67"/>
  <c r="BK50" i="67"/>
  <c r="BJ50" i="67"/>
  <c r="BI50" i="67"/>
  <c r="BH50" i="67"/>
  <c r="BG50" i="67"/>
  <c r="BF50" i="67"/>
  <c r="BE50" i="67"/>
  <c r="BD50" i="67"/>
  <c r="BC50" i="67"/>
  <c r="BB50" i="67"/>
  <c r="BA50" i="67"/>
  <c r="AZ50" i="67"/>
  <c r="AY50" i="67"/>
  <c r="AX50" i="67"/>
  <c r="AW50" i="67"/>
  <c r="AV50" i="67"/>
  <c r="AU50" i="67"/>
  <c r="AG50" i="67"/>
  <c r="AE50" i="67"/>
  <c r="AC50" i="67"/>
  <c r="AB50" i="67"/>
  <c r="AA50" i="67"/>
  <c r="Z50" i="67"/>
  <c r="Y50" i="67"/>
  <c r="X50" i="67"/>
  <c r="W50" i="67"/>
  <c r="V50" i="67"/>
  <c r="U50" i="67"/>
  <c r="T50" i="67"/>
  <c r="S50" i="67"/>
  <c r="R50" i="67"/>
  <c r="Q50" i="67"/>
  <c r="J50" i="67"/>
  <c r="F50" i="67"/>
  <c r="BT49" i="67"/>
  <c r="BS49" i="67"/>
  <c r="BR49" i="67"/>
  <c r="BQ49" i="67"/>
  <c r="BP49" i="67"/>
  <c r="BO49" i="67"/>
  <c r="BN49" i="67"/>
  <c r="BM49" i="67"/>
  <c r="BL49" i="67"/>
  <c r="BK49" i="67"/>
  <c r="BJ49" i="67"/>
  <c r="BI49" i="67"/>
  <c r="BH49" i="67"/>
  <c r="BG49" i="67"/>
  <c r="BF49" i="67"/>
  <c r="BE49" i="67"/>
  <c r="BD49" i="67"/>
  <c r="BC49" i="67"/>
  <c r="BB49" i="67"/>
  <c r="BA49" i="67"/>
  <c r="AZ49" i="67"/>
  <c r="AY49" i="67"/>
  <c r="AX49" i="67"/>
  <c r="AW49" i="67"/>
  <c r="AV49" i="67"/>
  <c r="AU49" i="67"/>
  <c r="AG49" i="67"/>
  <c r="AE49" i="67"/>
  <c r="AC49" i="67"/>
  <c r="AB49" i="67"/>
  <c r="AA49" i="67"/>
  <c r="Z49" i="67"/>
  <c r="Y49" i="67"/>
  <c r="X49" i="67"/>
  <c r="W49" i="67"/>
  <c r="V49" i="67"/>
  <c r="U49" i="67"/>
  <c r="T49" i="67"/>
  <c r="S49" i="67"/>
  <c r="Q49" i="67"/>
  <c r="J49" i="67"/>
  <c r="F49" i="67"/>
  <c r="BT48" i="67"/>
  <c r="BS48" i="67"/>
  <c r="BR48" i="67"/>
  <c r="BQ48" i="67"/>
  <c r="BP48" i="67"/>
  <c r="BO48" i="67"/>
  <c r="BN48" i="67"/>
  <c r="BM48" i="67"/>
  <c r="BL48" i="67"/>
  <c r="BK48" i="67"/>
  <c r="BJ48" i="67"/>
  <c r="BI48" i="67"/>
  <c r="BH48" i="67"/>
  <c r="BG48" i="67"/>
  <c r="BF48" i="67"/>
  <c r="BE48" i="67"/>
  <c r="BD48" i="67"/>
  <c r="BC48" i="67"/>
  <c r="BB48" i="67"/>
  <c r="BA48" i="67"/>
  <c r="AZ48" i="67"/>
  <c r="AY48" i="67"/>
  <c r="AX48" i="67"/>
  <c r="AW48" i="67"/>
  <c r="AV48" i="67"/>
  <c r="AU48" i="67"/>
  <c r="AG48" i="67"/>
  <c r="AE48" i="67"/>
  <c r="AC48" i="67"/>
  <c r="AB48" i="67"/>
  <c r="AA48" i="67"/>
  <c r="Z48" i="67"/>
  <c r="Y48" i="67"/>
  <c r="X48" i="67"/>
  <c r="W48" i="67"/>
  <c r="V48" i="67"/>
  <c r="U48" i="67"/>
  <c r="T48" i="67"/>
  <c r="S48" i="67"/>
  <c r="R48" i="67"/>
  <c r="Q48" i="67"/>
  <c r="J48" i="67"/>
  <c r="F48" i="67"/>
  <c r="BT47" i="67"/>
  <c r="BS47" i="67"/>
  <c r="BR47" i="67"/>
  <c r="BQ47" i="67"/>
  <c r="BP47" i="67"/>
  <c r="BO47" i="67"/>
  <c r="BN47" i="67"/>
  <c r="BM47" i="67"/>
  <c r="BL47" i="67"/>
  <c r="BK47" i="67"/>
  <c r="BJ47" i="67"/>
  <c r="BI47" i="67"/>
  <c r="BH47" i="67"/>
  <c r="BG47" i="67"/>
  <c r="BF47" i="67"/>
  <c r="BE47" i="67"/>
  <c r="BD47" i="67"/>
  <c r="BC47" i="67"/>
  <c r="BB47" i="67"/>
  <c r="BA47" i="67"/>
  <c r="AZ47" i="67"/>
  <c r="AY47" i="67"/>
  <c r="AX47" i="67"/>
  <c r="AW47" i="67"/>
  <c r="AV47" i="67"/>
  <c r="AU47" i="67"/>
  <c r="AG47" i="67"/>
  <c r="AE47" i="67"/>
  <c r="AC47" i="67"/>
  <c r="AB47" i="67"/>
  <c r="AA47" i="67"/>
  <c r="Z47" i="67"/>
  <c r="Y47" i="67"/>
  <c r="X47" i="67"/>
  <c r="W47" i="67"/>
  <c r="U47" i="67"/>
  <c r="T47" i="67"/>
  <c r="S47" i="67"/>
  <c r="R47" i="67"/>
  <c r="Q47" i="67"/>
  <c r="J47" i="67"/>
  <c r="F47" i="67"/>
  <c r="BT46" i="67"/>
  <c r="BS46" i="67"/>
  <c r="BR46" i="67"/>
  <c r="BQ46" i="67"/>
  <c r="BP46" i="67"/>
  <c r="BO46" i="67"/>
  <c r="BN46" i="67"/>
  <c r="BM46" i="67"/>
  <c r="BL46" i="67"/>
  <c r="BK46" i="67"/>
  <c r="BJ46" i="67"/>
  <c r="BI46" i="67"/>
  <c r="BH46" i="67"/>
  <c r="BG46" i="67"/>
  <c r="BF46" i="67"/>
  <c r="BE46" i="67"/>
  <c r="BD46" i="67"/>
  <c r="BC46" i="67"/>
  <c r="BB46" i="67"/>
  <c r="BA46" i="67"/>
  <c r="AZ46" i="67"/>
  <c r="AY46" i="67"/>
  <c r="AX46" i="67"/>
  <c r="AW46" i="67"/>
  <c r="AV46" i="67"/>
  <c r="AU46" i="67"/>
  <c r="AG46" i="67"/>
  <c r="AE46" i="67"/>
  <c r="AC46" i="67"/>
  <c r="AB46" i="67"/>
  <c r="AA46" i="67"/>
  <c r="Z46" i="67"/>
  <c r="Y46" i="67"/>
  <c r="X46" i="67"/>
  <c r="W46" i="67"/>
  <c r="U46" i="67"/>
  <c r="T46" i="67"/>
  <c r="S46" i="67"/>
  <c r="R46" i="67"/>
  <c r="Q46" i="67"/>
  <c r="J46" i="67"/>
  <c r="F46" i="67"/>
  <c r="BT45" i="67"/>
  <c r="BS45" i="67"/>
  <c r="BR45" i="67"/>
  <c r="BQ45" i="67"/>
  <c r="BP45" i="67"/>
  <c r="BO45" i="67"/>
  <c r="BN45" i="67"/>
  <c r="BM45" i="67"/>
  <c r="BL45" i="67"/>
  <c r="BK45" i="67"/>
  <c r="BJ45" i="67"/>
  <c r="BI45" i="67"/>
  <c r="BH45" i="67"/>
  <c r="BG45" i="67"/>
  <c r="BF45" i="67"/>
  <c r="BE45" i="67"/>
  <c r="BD45" i="67"/>
  <c r="BC45" i="67"/>
  <c r="BB45" i="67"/>
  <c r="BA45" i="67"/>
  <c r="AZ45" i="67"/>
  <c r="AY45" i="67"/>
  <c r="AX45" i="67"/>
  <c r="AW45" i="67"/>
  <c r="AV45" i="67"/>
  <c r="AU45" i="67"/>
  <c r="AG45" i="67"/>
  <c r="AE45" i="67"/>
  <c r="AB45" i="67"/>
  <c r="AA45" i="67"/>
  <c r="Z45" i="67"/>
  <c r="Y45" i="67"/>
  <c r="X45" i="67"/>
  <c r="W45" i="67"/>
  <c r="U45" i="67"/>
  <c r="T45" i="67"/>
  <c r="S45" i="67"/>
  <c r="R45" i="67"/>
  <c r="Q45" i="67"/>
  <c r="J45" i="67"/>
  <c r="F45" i="67"/>
  <c r="BT44" i="67"/>
  <c r="BS44" i="67"/>
  <c r="BR44" i="67"/>
  <c r="BQ44" i="67"/>
  <c r="BP44" i="67"/>
  <c r="BO44" i="67"/>
  <c r="BN44" i="67"/>
  <c r="BM44" i="67"/>
  <c r="BL44" i="67"/>
  <c r="BK44" i="67"/>
  <c r="BJ44" i="67"/>
  <c r="BI44" i="67"/>
  <c r="BH44" i="67"/>
  <c r="BG44" i="67"/>
  <c r="BF44" i="67"/>
  <c r="BE44" i="67"/>
  <c r="BD44" i="67"/>
  <c r="BC44" i="67"/>
  <c r="BB44" i="67"/>
  <c r="BA44" i="67"/>
  <c r="AZ44" i="67"/>
  <c r="AY44" i="67"/>
  <c r="AX44" i="67"/>
  <c r="AW44" i="67"/>
  <c r="AV44" i="67"/>
  <c r="AU44" i="67"/>
  <c r="AG44" i="67"/>
  <c r="AE44" i="67"/>
  <c r="AB44" i="67"/>
  <c r="AA44" i="67"/>
  <c r="Z44" i="67"/>
  <c r="Y44" i="67"/>
  <c r="X44" i="67"/>
  <c r="W44" i="67"/>
  <c r="V44" i="67"/>
  <c r="U44" i="67"/>
  <c r="T44" i="67"/>
  <c r="S44" i="67"/>
  <c r="R44" i="67"/>
  <c r="Q44" i="67"/>
  <c r="J44" i="67"/>
  <c r="F44" i="67"/>
  <c r="BT43" i="67"/>
  <c r="BS43" i="67"/>
  <c r="BR43" i="67"/>
  <c r="BQ43" i="67"/>
  <c r="BP43" i="67"/>
  <c r="BO43" i="67"/>
  <c r="BN43" i="67"/>
  <c r="BM43" i="67"/>
  <c r="BL43" i="67"/>
  <c r="BK43" i="67"/>
  <c r="BJ43" i="67"/>
  <c r="BI43" i="67"/>
  <c r="BH43" i="67"/>
  <c r="BG43" i="67"/>
  <c r="BF43" i="67"/>
  <c r="BE43" i="67"/>
  <c r="BD43" i="67"/>
  <c r="BC43" i="67"/>
  <c r="BB43" i="67"/>
  <c r="BA43" i="67"/>
  <c r="AZ43" i="67"/>
  <c r="AY43" i="67"/>
  <c r="AX43" i="67"/>
  <c r="AW43" i="67"/>
  <c r="AV43" i="67"/>
  <c r="AU43" i="67"/>
  <c r="AG43" i="67"/>
  <c r="AE43" i="67"/>
  <c r="AB43" i="67"/>
  <c r="AA43" i="67"/>
  <c r="Z43" i="67"/>
  <c r="Y43" i="67"/>
  <c r="X43" i="67"/>
  <c r="W43" i="67"/>
  <c r="V43" i="67"/>
  <c r="U43" i="67"/>
  <c r="T43" i="67"/>
  <c r="R43" i="67"/>
  <c r="Q43" i="67"/>
  <c r="J43" i="67"/>
  <c r="F43" i="67"/>
  <c r="BT42" i="67"/>
  <c r="BS42" i="67"/>
  <c r="BR42" i="67"/>
  <c r="BQ42" i="67"/>
  <c r="BP42" i="67"/>
  <c r="BO42" i="67"/>
  <c r="BN42" i="67"/>
  <c r="BM42" i="67"/>
  <c r="BL42" i="67"/>
  <c r="BK42" i="67"/>
  <c r="BJ42" i="67"/>
  <c r="BI42" i="67"/>
  <c r="BH42" i="67"/>
  <c r="BG42" i="67"/>
  <c r="BF42" i="67"/>
  <c r="BE42" i="67"/>
  <c r="BD42" i="67"/>
  <c r="BC42" i="67"/>
  <c r="BB42" i="67"/>
  <c r="BA42" i="67"/>
  <c r="AZ42" i="67"/>
  <c r="AY42" i="67"/>
  <c r="AX42" i="67"/>
  <c r="AW42" i="67"/>
  <c r="AV42" i="67"/>
  <c r="AU42" i="67"/>
  <c r="AG42" i="67"/>
  <c r="AE42" i="67"/>
  <c r="AB42" i="67"/>
  <c r="AA42" i="67"/>
  <c r="Z42" i="67"/>
  <c r="Y42" i="67"/>
  <c r="X42" i="67"/>
  <c r="W42" i="67"/>
  <c r="V42" i="67"/>
  <c r="U42" i="67"/>
  <c r="T42" i="67"/>
  <c r="S42" i="67"/>
  <c r="Q42" i="67"/>
  <c r="J42" i="67"/>
  <c r="K42" i="67" s="1"/>
  <c r="AF42" i="67" s="1"/>
  <c r="F42" i="67"/>
  <c r="BT41" i="67"/>
  <c r="BS41" i="67"/>
  <c r="BR41" i="67"/>
  <c r="BQ41" i="67"/>
  <c r="BP41" i="67"/>
  <c r="BO41" i="67"/>
  <c r="BN41" i="67"/>
  <c r="BM41" i="67"/>
  <c r="BL41" i="67"/>
  <c r="BK41" i="67"/>
  <c r="BJ41" i="67"/>
  <c r="BI41" i="67"/>
  <c r="BH41" i="67"/>
  <c r="BG41" i="67"/>
  <c r="BF41" i="67"/>
  <c r="BE41" i="67"/>
  <c r="BD41" i="67"/>
  <c r="BC41" i="67"/>
  <c r="BB41" i="67"/>
  <c r="BA41" i="67"/>
  <c r="AZ41" i="67"/>
  <c r="AY41" i="67"/>
  <c r="AX41" i="67"/>
  <c r="AW41" i="67"/>
  <c r="AV41" i="67"/>
  <c r="AU41" i="67"/>
  <c r="AG41" i="67"/>
  <c r="AE41" i="67"/>
  <c r="AB41" i="67"/>
  <c r="AA41" i="67"/>
  <c r="Z41" i="67"/>
  <c r="Y41" i="67"/>
  <c r="X41" i="67"/>
  <c r="W41" i="67"/>
  <c r="V41" i="67"/>
  <c r="U41" i="67"/>
  <c r="T41" i="67"/>
  <c r="S41" i="67"/>
  <c r="Q41" i="67"/>
  <c r="J41" i="67"/>
  <c r="F41" i="67"/>
  <c r="BT40" i="67"/>
  <c r="BS40" i="67"/>
  <c r="BR40" i="67"/>
  <c r="BQ40" i="67"/>
  <c r="BP40" i="67"/>
  <c r="BO40" i="67"/>
  <c r="BN40" i="67"/>
  <c r="BM40" i="67"/>
  <c r="BL40" i="67"/>
  <c r="BK40" i="67"/>
  <c r="BJ40" i="67"/>
  <c r="BI40" i="67"/>
  <c r="BH40" i="67"/>
  <c r="BG40" i="67"/>
  <c r="BF40" i="67"/>
  <c r="BE40" i="67"/>
  <c r="BD40" i="67"/>
  <c r="BC40" i="67"/>
  <c r="BB40" i="67"/>
  <c r="BA40" i="67"/>
  <c r="AZ40" i="67"/>
  <c r="AY40" i="67"/>
  <c r="AX40" i="67"/>
  <c r="AW40" i="67"/>
  <c r="AV40" i="67"/>
  <c r="AU40" i="67"/>
  <c r="AG40" i="67"/>
  <c r="AE40" i="67"/>
  <c r="AB40" i="67"/>
  <c r="AA40" i="67"/>
  <c r="Z40" i="67"/>
  <c r="Y40" i="67"/>
  <c r="X40" i="67"/>
  <c r="W40" i="67"/>
  <c r="V40" i="67"/>
  <c r="U40" i="67"/>
  <c r="T40" i="67"/>
  <c r="R40" i="67"/>
  <c r="Q40" i="67"/>
  <c r="J40" i="67"/>
  <c r="F40" i="67"/>
  <c r="BT39" i="67"/>
  <c r="BS39" i="67"/>
  <c r="BR39" i="67"/>
  <c r="BQ39" i="67"/>
  <c r="BP39" i="67"/>
  <c r="BO39" i="67"/>
  <c r="BN39" i="67"/>
  <c r="BM39" i="67"/>
  <c r="BL39" i="67"/>
  <c r="BK39" i="67"/>
  <c r="BJ39" i="67"/>
  <c r="BI39" i="67"/>
  <c r="BH39" i="67"/>
  <c r="BG39" i="67"/>
  <c r="BF39" i="67"/>
  <c r="BE39" i="67"/>
  <c r="BD39" i="67"/>
  <c r="BC39" i="67"/>
  <c r="BB39" i="67"/>
  <c r="BA39" i="67"/>
  <c r="AZ39" i="67"/>
  <c r="AY39" i="67"/>
  <c r="AX39" i="67"/>
  <c r="AW39" i="67"/>
  <c r="AV39" i="67"/>
  <c r="AU39" i="67"/>
  <c r="AG39" i="67"/>
  <c r="AE39" i="67"/>
  <c r="AB39" i="67"/>
  <c r="AA39" i="67"/>
  <c r="Z39" i="67"/>
  <c r="Y39" i="67"/>
  <c r="X39" i="67"/>
  <c r="W39" i="67"/>
  <c r="V39" i="67"/>
  <c r="T39" i="67"/>
  <c r="R39" i="67"/>
  <c r="Q39" i="67"/>
  <c r="J39" i="67"/>
  <c r="F39" i="67"/>
  <c r="BT38" i="67"/>
  <c r="BS38" i="67"/>
  <c r="BR38" i="67"/>
  <c r="BQ38" i="67"/>
  <c r="BP38" i="67"/>
  <c r="BO38" i="67"/>
  <c r="BN38" i="67"/>
  <c r="BM38" i="67"/>
  <c r="BL38" i="67"/>
  <c r="BK38" i="67"/>
  <c r="BJ38" i="67"/>
  <c r="BI38" i="67"/>
  <c r="BH38" i="67"/>
  <c r="BG38" i="67"/>
  <c r="BF38" i="67"/>
  <c r="BE38" i="67"/>
  <c r="BD38" i="67"/>
  <c r="BC38" i="67"/>
  <c r="BB38" i="67"/>
  <c r="BA38" i="67"/>
  <c r="AZ38" i="67"/>
  <c r="AY38" i="67"/>
  <c r="AX38" i="67"/>
  <c r="AW38" i="67"/>
  <c r="AV38" i="67"/>
  <c r="AU38" i="67"/>
  <c r="AG38" i="67"/>
  <c r="AE38" i="67"/>
  <c r="AB38" i="67"/>
  <c r="AA38" i="67"/>
  <c r="Z38" i="67"/>
  <c r="Y38" i="67"/>
  <c r="X38" i="67"/>
  <c r="W38" i="67"/>
  <c r="V38" i="67"/>
  <c r="T38" i="67"/>
  <c r="R38" i="67"/>
  <c r="Q38" i="67"/>
  <c r="J38" i="67"/>
  <c r="F38" i="67"/>
  <c r="BT37" i="67"/>
  <c r="BS37" i="67"/>
  <c r="BR37" i="67"/>
  <c r="BQ37" i="67"/>
  <c r="BP37" i="67"/>
  <c r="BO37" i="67"/>
  <c r="BN37" i="67"/>
  <c r="BM37" i="67"/>
  <c r="BL37" i="67"/>
  <c r="BK37" i="67"/>
  <c r="BJ37" i="67"/>
  <c r="BI37" i="67"/>
  <c r="BH37" i="67"/>
  <c r="BG37" i="67"/>
  <c r="BF37" i="67"/>
  <c r="BE37" i="67"/>
  <c r="BD37" i="67"/>
  <c r="BC37" i="67"/>
  <c r="BB37" i="67"/>
  <c r="BA37" i="67"/>
  <c r="AZ37" i="67"/>
  <c r="AY37" i="67"/>
  <c r="AX37" i="67"/>
  <c r="AW37" i="67"/>
  <c r="AV37" i="67"/>
  <c r="AU37" i="67"/>
  <c r="AG37" i="67"/>
  <c r="AE37" i="67"/>
  <c r="AC37" i="67"/>
  <c r="AB37" i="67"/>
  <c r="AA37" i="67"/>
  <c r="Z37" i="67"/>
  <c r="Y37" i="67"/>
  <c r="X37" i="67"/>
  <c r="W37" i="67"/>
  <c r="V37" i="67"/>
  <c r="U37" i="67"/>
  <c r="T37" i="67"/>
  <c r="R37" i="67"/>
  <c r="Q37" i="67"/>
  <c r="J37" i="67"/>
  <c r="K37" i="67" s="1"/>
  <c r="AF37" i="67" s="1"/>
  <c r="F37" i="67"/>
  <c r="BT36" i="67"/>
  <c r="BS36" i="67"/>
  <c r="BR36" i="67"/>
  <c r="BQ36" i="67"/>
  <c r="BP36" i="67"/>
  <c r="BO36" i="67"/>
  <c r="BN36" i="67"/>
  <c r="BM36" i="67"/>
  <c r="BL36" i="67"/>
  <c r="BK36" i="67"/>
  <c r="BJ36" i="67"/>
  <c r="BI36" i="67"/>
  <c r="BH36" i="67"/>
  <c r="BG36" i="67"/>
  <c r="BF36" i="67"/>
  <c r="BE36" i="67"/>
  <c r="BD36" i="67"/>
  <c r="BC36" i="67"/>
  <c r="BB36" i="67"/>
  <c r="BA36" i="67"/>
  <c r="AZ36" i="67"/>
  <c r="AY36" i="67"/>
  <c r="AX36" i="67"/>
  <c r="AW36" i="67"/>
  <c r="AV36" i="67"/>
  <c r="AU36" i="67"/>
  <c r="AG36" i="67"/>
  <c r="AE36" i="67"/>
  <c r="AC36" i="67"/>
  <c r="AB36" i="67"/>
  <c r="AA36" i="67"/>
  <c r="Z36" i="67"/>
  <c r="Y36" i="67"/>
  <c r="X36" i="67"/>
  <c r="W36" i="67"/>
  <c r="V36" i="67"/>
  <c r="U36" i="67"/>
  <c r="T36" i="67"/>
  <c r="R36" i="67"/>
  <c r="Q36" i="67"/>
  <c r="J36" i="67"/>
  <c r="F36" i="67"/>
  <c r="BT35" i="67"/>
  <c r="BS35" i="67"/>
  <c r="BR35" i="67"/>
  <c r="BQ35" i="67"/>
  <c r="BP35" i="67"/>
  <c r="BO35" i="67"/>
  <c r="BN35" i="67"/>
  <c r="BM35" i="67"/>
  <c r="BL35" i="67"/>
  <c r="BK35" i="67"/>
  <c r="BJ35" i="67"/>
  <c r="BI35" i="67"/>
  <c r="BH35" i="67"/>
  <c r="BG35" i="67"/>
  <c r="BF35" i="67"/>
  <c r="BE35" i="67"/>
  <c r="BD35" i="67"/>
  <c r="BC35" i="67"/>
  <c r="BB35" i="67"/>
  <c r="BA35" i="67"/>
  <c r="AZ35" i="67"/>
  <c r="AY35" i="67"/>
  <c r="AX35" i="67"/>
  <c r="AW35" i="67"/>
  <c r="AV35" i="67"/>
  <c r="AU35" i="67"/>
  <c r="AG35" i="67"/>
  <c r="AE35" i="67"/>
  <c r="AC35" i="67"/>
  <c r="AB35" i="67"/>
  <c r="AA35" i="67"/>
  <c r="Y35" i="67"/>
  <c r="X35" i="67"/>
  <c r="W35" i="67"/>
  <c r="V35" i="67"/>
  <c r="U35" i="67"/>
  <c r="T35" i="67"/>
  <c r="S35" i="67"/>
  <c r="R35" i="67"/>
  <c r="Q35" i="67"/>
  <c r="J35" i="67"/>
  <c r="F35" i="67"/>
  <c r="BT34" i="67"/>
  <c r="BS34" i="67"/>
  <c r="BR34" i="67"/>
  <c r="BQ34" i="67"/>
  <c r="BP34" i="67"/>
  <c r="BO34" i="67"/>
  <c r="BN34" i="67"/>
  <c r="BM34" i="67"/>
  <c r="BL34" i="67"/>
  <c r="BK34" i="67"/>
  <c r="BJ34" i="67"/>
  <c r="BI34" i="67"/>
  <c r="BH34" i="67"/>
  <c r="BG34" i="67"/>
  <c r="BF34" i="67"/>
  <c r="BE34" i="67"/>
  <c r="BD34" i="67"/>
  <c r="BC34" i="67"/>
  <c r="BB34" i="67"/>
  <c r="BA34" i="67"/>
  <c r="AZ34" i="67"/>
  <c r="AY34" i="67"/>
  <c r="AX34" i="67"/>
  <c r="AW34" i="67"/>
  <c r="AV34" i="67"/>
  <c r="AU34" i="67"/>
  <c r="AG34" i="67"/>
  <c r="AE34" i="67"/>
  <c r="AC34" i="67"/>
  <c r="AB34" i="67"/>
  <c r="AA34" i="67"/>
  <c r="Y34" i="67"/>
  <c r="X34" i="67"/>
  <c r="W34" i="67"/>
  <c r="V34" i="67"/>
  <c r="U34" i="67"/>
  <c r="T34" i="67"/>
  <c r="S34" i="67"/>
  <c r="R34" i="67"/>
  <c r="Q34" i="67"/>
  <c r="J34" i="67"/>
  <c r="F34" i="67"/>
  <c r="BT33" i="67"/>
  <c r="BS33" i="67"/>
  <c r="BR33" i="67"/>
  <c r="BQ33" i="67"/>
  <c r="BP33" i="67"/>
  <c r="BO33" i="67"/>
  <c r="BN33" i="67"/>
  <c r="BM33" i="67"/>
  <c r="BL33" i="67"/>
  <c r="BK33" i="67"/>
  <c r="BJ33" i="67"/>
  <c r="BI33" i="67"/>
  <c r="BH33" i="67"/>
  <c r="BG33" i="67"/>
  <c r="BF33" i="67"/>
  <c r="BE33" i="67"/>
  <c r="BD33" i="67"/>
  <c r="BC33" i="67"/>
  <c r="BB33" i="67"/>
  <c r="BA33" i="67"/>
  <c r="AZ33" i="67"/>
  <c r="AY33" i="67"/>
  <c r="AX33" i="67"/>
  <c r="AW33" i="67"/>
  <c r="AV33" i="67"/>
  <c r="AU33" i="67"/>
  <c r="AG33" i="67"/>
  <c r="AE33" i="67"/>
  <c r="AC33" i="67"/>
  <c r="AB33" i="67"/>
  <c r="AA33" i="67"/>
  <c r="Y33" i="67"/>
  <c r="X33" i="67"/>
  <c r="W33" i="67"/>
  <c r="V33" i="67"/>
  <c r="U33" i="67"/>
  <c r="T33" i="67"/>
  <c r="R33" i="67"/>
  <c r="Q33" i="67"/>
  <c r="J33" i="67"/>
  <c r="F33" i="67"/>
  <c r="BT32" i="67"/>
  <c r="BS32" i="67"/>
  <c r="BR32" i="67"/>
  <c r="BQ32" i="67"/>
  <c r="BP32" i="67"/>
  <c r="BO32" i="67"/>
  <c r="BN32" i="67"/>
  <c r="BM32" i="67"/>
  <c r="BL32" i="67"/>
  <c r="BK32" i="67"/>
  <c r="BJ32" i="67"/>
  <c r="BI32" i="67"/>
  <c r="BH32" i="67"/>
  <c r="BG32" i="67"/>
  <c r="BF32" i="67"/>
  <c r="BE32" i="67"/>
  <c r="BD32" i="67"/>
  <c r="BC32" i="67"/>
  <c r="BB32" i="67"/>
  <c r="BA32" i="67"/>
  <c r="AZ32" i="67"/>
  <c r="AY32" i="67"/>
  <c r="AX32" i="67"/>
  <c r="AW32" i="67"/>
  <c r="AV32" i="67"/>
  <c r="AU32" i="67"/>
  <c r="AG32" i="67"/>
  <c r="AE32" i="67"/>
  <c r="AC32" i="67"/>
  <c r="AB32" i="67"/>
  <c r="AA32" i="67"/>
  <c r="Y32" i="67"/>
  <c r="X32" i="67"/>
  <c r="W32" i="67"/>
  <c r="V32" i="67"/>
  <c r="U32" i="67"/>
  <c r="T32" i="67"/>
  <c r="S32" i="67"/>
  <c r="Q32" i="67"/>
  <c r="J32" i="67"/>
  <c r="F32" i="67"/>
  <c r="BT31" i="67"/>
  <c r="BS31" i="67"/>
  <c r="BR31" i="67"/>
  <c r="BQ31" i="67"/>
  <c r="BP31" i="67"/>
  <c r="BO31" i="67"/>
  <c r="BN31" i="67"/>
  <c r="BM31" i="67"/>
  <c r="BL31" i="67"/>
  <c r="BK31" i="67"/>
  <c r="BJ31" i="67"/>
  <c r="BI31" i="67"/>
  <c r="BH31" i="67"/>
  <c r="BG31" i="67"/>
  <c r="BF31" i="67"/>
  <c r="BE31" i="67"/>
  <c r="BD31" i="67"/>
  <c r="BC31" i="67"/>
  <c r="BB31" i="67"/>
  <c r="BA31" i="67"/>
  <c r="AZ31" i="67"/>
  <c r="AY31" i="67"/>
  <c r="AX31" i="67"/>
  <c r="AW31" i="67"/>
  <c r="AV31" i="67"/>
  <c r="AU31" i="67"/>
  <c r="AG31" i="67"/>
  <c r="AE31" i="67"/>
  <c r="AC31" i="67"/>
  <c r="AB31" i="67"/>
  <c r="AA31" i="67"/>
  <c r="Z31" i="67"/>
  <c r="Y31" i="67"/>
  <c r="X31" i="67"/>
  <c r="W31" i="67"/>
  <c r="V31" i="67"/>
  <c r="U31" i="67"/>
  <c r="T31" i="67"/>
  <c r="S31" i="67"/>
  <c r="Q31" i="67"/>
  <c r="J31" i="67"/>
  <c r="F31" i="67"/>
  <c r="BT30" i="67"/>
  <c r="BS30" i="67"/>
  <c r="BR30" i="67"/>
  <c r="BQ30" i="67"/>
  <c r="BP30" i="67"/>
  <c r="BO30" i="67"/>
  <c r="BN30" i="67"/>
  <c r="BM30" i="67"/>
  <c r="BL30" i="67"/>
  <c r="BK30" i="67"/>
  <c r="BJ30" i="67"/>
  <c r="BI30" i="67"/>
  <c r="BH30" i="67"/>
  <c r="BG30" i="67"/>
  <c r="BF30" i="67"/>
  <c r="BE30" i="67"/>
  <c r="BD30" i="67"/>
  <c r="BC30" i="67"/>
  <c r="BB30" i="67"/>
  <c r="BA30" i="67"/>
  <c r="AZ30" i="67"/>
  <c r="AY30" i="67"/>
  <c r="AX30" i="67"/>
  <c r="AW30" i="67"/>
  <c r="AV30" i="67"/>
  <c r="AU30" i="67"/>
  <c r="AG30" i="67"/>
  <c r="AE30" i="67"/>
  <c r="AC30" i="67"/>
  <c r="AB30" i="67"/>
  <c r="AA30" i="67"/>
  <c r="Z30" i="67"/>
  <c r="Y30" i="67"/>
  <c r="X30" i="67"/>
  <c r="W30" i="67"/>
  <c r="V30" i="67"/>
  <c r="U30" i="67"/>
  <c r="T30" i="67"/>
  <c r="R30" i="67"/>
  <c r="Q30" i="67"/>
  <c r="J30" i="67"/>
  <c r="F30" i="67"/>
  <c r="BT29" i="67"/>
  <c r="BS29" i="67"/>
  <c r="BR29" i="67"/>
  <c r="BQ29" i="67"/>
  <c r="BP29" i="67"/>
  <c r="BO29" i="67"/>
  <c r="BN29" i="67"/>
  <c r="BM29" i="67"/>
  <c r="BL29" i="67"/>
  <c r="BK29" i="67"/>
  <c r="BJ29" i="67"/>
  <c r="BI29" i="67"/>
  <c r="BH29" i="67"/>
  <c r="BG29" i="67"/>
  <c r="BF29" i="67"/>
  <c r="BE29" i="67"/>
  <c r="BD29" i="67"/>
  <c r="BC29" i="67"/>
  <c r="BB29" i="67"/>
  <c r="BA29" i="67"/>
  <c r="AZ29" i="67"/>
  <c r="AY29" i="67"/>
  <c r="AX29" i="67"/>
  <c r="AW29" i="67"/>
  <c r="AV29" i="67"/>
  <c r="AU29" i="67"/>
  <c r="AG29" i="67"/>
  <c r="AE29" i="67"/>
  <c r="AC29" i="67"/>
  <c r="AB29" i="67"/>
  <c r="AA29" i="67"/>
  <c r="Z29" i="67"/>
  <c r="Y29" i="67"/>
  <c r="X29" i="67"/>
  <c r="W29" i="67"/>
  <c r="V29" i="67"/>
  <c r="U29" i="67"/>
  <c r="T29" i="67"/>
  <c r="R29" i="67"/>
  <c r="Q29" i="67"/>
  <c r="J29" i="67"/>
  <c r="F29" i="67"/>
  <c r="BT28" i="67"/>
  <c r="BS28" i="67"/>
  <c r="BR28" i="67"/>
  <c r="BQ28" i="67"/>
  <c r="BP28" i="67"/>
  <c r="BO28" i="67"/>
  <c r="BN28" i="67"/>
  <c r="BM28" i="67"/>
  <c r="BL28" i="67"/>
  <c r="BK28" i="67"/>
  <c r="BJ28" i="67"/>
  <c r="BI28" i="67"/>
  <c r="BH28" i="67"/>
  <c r="BG28" i="67"/>
  <c r="BF28" i="67"/>
  <c r="BE28" i="67"/>
  <c r="BD28" i="67"/>
  <c r="BC28" i="67"/>
  <c r="BB28" i="67"/>
  <c r="BA28" i="67"/>
  <c r="AZ28" i="67"/>
  <c r="AY28" i="67"/>
  <c r="AX28" i="67"/>
  <c r="AW28" i="67"/>
  <c r="AV28" i="67"/>
  <c r="AU28" i="67"/>
  <c r="AG28" i="67"/>
  <c r="AE28" i="67"/>
  <c r="AC28" i="67"/>
  <c r="AB28" i="67"/>
  <c r="AA28" i="67"/>
  <c r="Z28" i="67"/>
  <c r="Y28" i="67"/>
  <c r="X28" i="67"/>
  <c r="W28" i="67"/>
  <c r="V28" i="67"/>
  <c r="U28" i="67"/>
  <c r="T28" i="67"/>
  <c r="R28" i="67"/>
  <c r="Q28" i="67"/>
  <c r="J28" i="67"/>
  <c r="K28" i="67" s="1"/>
  <c r="AF28" i="67" s="1"/>
  <c r="F28" i="67"/>
  <c r="BT27" i="67"/>
  <c r="BS27" i="67"/>
  <c r="BR27" i="67"/>
  <c r="BQ27" i="67"/>
  <c r="BP27" i="67"/>
  <c r="BO27" i="67"/>
  <c r="BN27" i="67"/>
  <c r="BM27" i="67"/>
  <c r="BL27" i="67"/>
  <c r="BK27" i="67"/>
  <c r="BJ27" i="67"/>
  <c r="BI27" i="67"/>
  <c r="BH27" i="67"/>
  <c r="BG27" i="67"/>
  <c r="BF27" i="67"/>
  <c r="BE27" i="67"/>
  <c r="BD27" i="67"/>
  <c r="BC27" i="67"/>
  <c r="BB27" i="67"/>
  <c r="BA27" i="67"/>
  <c r="AZ27" i="67"/>
  <c r="AY27" i="67"/>
  <c r="AX27" i="67"/>
  <c r="AW27" i="67"/>
  <c r="AV27" i="67"/>
  <c r="AU27" i="67"/>
  <c r="AG27" i="67"/>
  <c r="AE27" i="67"/>
  <c r="AC27" i="67"/>
  <c r="AB27" i="67"/>
  <c r="AA27" i="67"/>
  <c r="Y27" i="67"/>
  <c r="X27" i="67"/>
  <c r="W27" i="67"/>
  <c r="V27" i="67"/>
  <c r="U27" i="67"/>
  <c r="T27" i="67"/>
  <c r="R27" i="67"/>
  <c r="Q27" i="67"/>
  <c r="J27" i="67"/>
  <c r="F27" i="67"/>
  <c r="D482" i="67"/>
  <c r="H482" i="67" s="1"/>
  <c r="D480" i="67"/>
  <c r="H480" i="67" s="1"/>
  <c r="D478" i="67"/>
  <c r="H478" i="67" s="1"/>
  <c r="H476" i="67"/>
  <c r="D474" i="67"/>
  <c r="H474" i="67" s="1"/>
  <c r="H472" i="67"/>
  <c r="D472" i="67"/>
  <c r="E470" i="67"/>
  <c r="D466" i="67"/>
  <c r="H466" i="67" s="1"/>
  <c r="D464" i="67"/>
  <c r="H464" i="67" s="1"/>
  <c r="D460" i="67"/>
  <c r="H460" i="67" s="1"/>
  <c r="D458" i="67"/>
  <c r="D468" i="67" s="1"/>
  <c r="D449" i="67"/>
  <c r="H449" i="67" s="1"/>
  <c r="D447" i="67"/>
  <c r="H447" i="67" s="1"/>
  <c r="D445" i="67"/>
  <c r="H445" i="67" s="1"/>
  <c r="H443" i="67"/>
  <c r="H441" i="67"/>
  <c r="D441" i="67"/>
  <c r="D439" i="67"/>
  <c r="H439" i="67" s="1"/>
  <c r="E437" i="67"/>
  <c r="D433" i="67"/>
  <c r="H433" i="67" s="1"/>
  <c r="D431" i="67"/>
  <c r="D427" i="67"/>
  <c r="H427" i="67" s="1"/>
  <c r="D425" i="67"/>
  <c r="D435" i="67" s="1"/>
  <c r="D437" i="67" s="1"/>
  <c r="H437" i="67" s="1"/>
  <c r="D416" i="67"/>
  <c r="H416" i="67" s="1"/>
  <c r="D414" i="67"/>
  <c r="H414" i="67" s="1"/>
  <c r="D412" i="67"/>
  <c r="H412" i="67" s="1"/>
  <c r="H410" i="67"/>
  <c r="D408" i="67"/>
  <c r="H408" i="67" s="1"/>
  <c r="D406" i="67"/>
  <c r="H406" i="67" s="1"/>
  <c r="E404" i="67"/>
  <c r="D400" i="67"/>
  <c r="H400" i="67" s="1"/>
  <c r="D398" i="67"/>
  <c r="H398" i="67" s="1"/>
  <c r="D396" i="67"/>
  <c r="H396" i="67" s="1"/>
  <c r="D394" i="67"/>
  <c r="H394" i="67" s="1"/>
  <c r="D392" i="67"/>
  <c r="D402" i="67" s="1"/>
  <c r="F383" i="67"/>
  <c r="H383" i="67" s="1"/>
  <c r="F381" i="67"/>
  <c r="F382" i="67" s="1"/>
  <c r="H382" i="67" s="1"/>
  <c r="U365" i="67"/>
  <c r="S365" i="67"/>
  <c r="Q365" i="67"/>
  <c r="X367" i="67" s="1"/>
  <c r="U363" i="67"/>
  <c r="S363" i="67"/>
  <c r="Q363" i="67"/>
  <c r="U361" i="67"/>
  <c r="S361" i="67"/>
  <c r="Q361" i="67"/>
  <c r="U359" i="67"/>
  <c r="S359" i="67"/>
  <c r="Q359" i="67"/>
  <c r="U357" i="67"/>
  <c r="S357" i="67"/>
  <c r="Q357" i="67"/>
  <c r="U355" i="67"/>
  <c r="S355" i="67"/>
  <c r="Q355" i="67"/>
  <c r="U353" i="67"/>
  <c r="S353" i="67"/>
  <c r="Q353" i="67"/>
  <c r="U351" i="67"/>
  <c r="S351" i="67"/>
  <c r="Q351" i="67"/>
  <c r="U349" i="67"/>
  <c r="S349" i="67"/>
  <c r="Q349" i="67"/>
  <c r="U347" i="67"/>
  <c r="S347" i="67"/>
  <c r="Q347" i="67"/>
  <c r="U345" i="67"/>
  <c r="AA367" i="67" s="1"/>
  <c r="S345" i="67"/>
  <c r="Q345" i="67"/>
  <c r="H335" i="67"/>
  <c r="I332" i="67"/>
  <c r="H333" i="67" s="1"/>
  <c r="B332" i="67"/>
  <c r="A332" i="67"/>
  <c r="AY331" i="67"/>
  <c r="AX331" i="67"/>
  <c r="AW331" i="67"/>
  <c r="AV331" i="67"/>
  <c r="AU331" i="67"/>
  <c r="AT331" i="67"/>
  <c r="AS331" i="67"/>
  <c r="AR331" i="67"/>
  <c r="AQ331" i="67"/>
  <c r="AP331" i="67"/>
  <c r="M331" i="67"/>
  <c r="L331" i="67"/>
  <c r="F331" i="67"/>
  <c r="AY330" i="67"/>
  <c r="AX330" i="67"/>
  <c r="AW330" i="67"/>
  <c r="AV330" i="67"/>
  <c r="AU330" i="67"/>
  <c r="AT330" i="67"/>
  <c r="AS330" i="67"/>
  <c r="AR330" i="67"/>
  <c r="AQ330" i="67"/>
  <c r="AP330" i="67"/>
  <c r="M330" i="67"/>
  <c r="F330" i="67"/>
  <c r="L330" i="67" s="1"/>
  <c r="AY329" i="67"/>
  <c r="AX329" i="67"/>
  <c r="AW329" i="67"/>
  <c r="AV329" i="67"/>
  <c r="AU329" i="67"/>
  <c r="AT329" i="67"/>
  <c r="AS329" i="67"/>
  <c r="AR329" i="67"/>
  <c r="AQ329" i="67"/>
  <c r="AP329" i="67"/>
  <c r="M329" i="67"/>
  <c r="F329" i="67"/>
  <c r="L329" i="67" s="1"/>
  <c r="AY328" i="67"/>
  <c r="AX328" i="67"/>
  <c r="AW328" i="67"/>
  <c r="AV328" i="67"/>
  <c r="AU328" i="67"/>
  <c r="AT328" i="67"/>
  <c r="AS328" i="67"/>
  <c r="AR328" i="67"/>
  <c r="AQ328" i="67"/>
  <c r="AP328" i="67"/>
  <c r="M328" i="67"/>
  <c r="F328" i="67"/>
  <c r="L328" i="67" s="1"/>
  <c r="AY327" i="67"/>
  <c r="AX327" i="67"/>
  <c r="AW327" i="67"/>
  <c r="AV327" i="67"/>
  <c r="AU327" i="67"/>
  <c r="AT327" i="67"/>
  <c r="AS327" i="67"/>
  <c r="AR327" i="67"/>
  <c r="AQ327" i="67"/>
  <c r="AP327" i="67"/>
  <c r="M327" i="67"/>
  <c r="L327" i="67"/>
  <c r="F327" i="67"/>
  <c r="AY326" i="67"/>
  <c r="AX326" i="67"/>
  <c r="AW326" i="67"/>
  <c r="AV326" i="67"/>
  <c r="AU326" i="67"/>
  <c r="AT326" i="67"/>
  <c r="AS326" i="67"/>
  <c r="AR326" i="67"/>
  <c r="AQ326" i="67"/>
  <c r="AP326" i="67"/>
  <c r="M326" i="67"/>
  <c r="F326" i="67"/>
  <c r="L326" i="67" s="1"/>
  <c r="AY325" i="67"/>
  <c r="AX325" i="67"/>
  <c r="AW325" i="67"/>
  <c r="AV325" i="67"/>
  <c r="AU325" i="67"/>
  <c r="AT325" i="67"/>
  <c r="AS325" i="67"/>
  <c r="AR325" i="67"/>
  <c r="AQ325" i="67"/>
  <c r="AP325" i="67"/>
  <c r="M325" i="67"/>
  <c r="L325" i="67"/>
  <c r="F325" i="67"/>
  <c r="AY324" i="67"/>
  <c r="AX324" i="67"/>
  <c r="AW324" i="67"/>
  <c r="AV324" i="67"/>
  <c r="AU324" i="67"/>
  <c r="AT324" i="67"/>
  <c r="AS324" i="67"/>
  <c r="AR324" i="67"/>
  <c r="AQ324" i="67"/>
  <c r="AP324" i="67"/>
  <c r="H324" i="67" s="1"/>
  <c r="M324" i="67"/>
  <c r="F324" i="67"/>
  <c r="L324" i="67" s="1"/>
  <c r="AY323" i="67"/>
  <c r="AX323" i="67"/>
  <c r="AW323" i="67"/>
  <c r="AV323" i="67"/>
  <c r="AU323" i="67"/>
  <c r="AT323" i="67"/>
  <c r="AS323" i="67"/>
  <c r="AR323" i="67"/>
  <c r="AQ323" i="67"/>
  <c r="AP323" i="67"/>
  <c r="H323" i="67" s="1"/>
  <c r="M323" i="67"/>
  <c r="L323" i="67"/>
  <c r="F323" i="67"/>
  <c r="AY322" i="67"/>
  <c r="AX322" i="67"/>
  <c r="AW322" i="67"/>
  <c r="AV322" i="67"/>
  <c r="AU322" i="67"/>
  <c r="AT322" i="67"/>
  <c r="AS322" i="67"/>
  <c r="AR322" i="67"/>
  <c r="AQ322" i="67"/>
  <c r="AP322" i="67"/>
  <c r="M322" i="67"/>
  <c r="F322" i="67"/>
  <c r="L322" i="67" s="1"/>
  <c r="AY321" i="67"/>
  <c r="AX321" i="67"/>
  <c r="AW321" i="67"/>
  <c r="AV321" i="67"/>
  <c r="AU321" i="67"/>
  <c r="AT321" i="67"/>
  <c r="AS321" i="67"/>
  <c r="AR321" i="67"/>
  <c r="AQ321" i="67"/>
  <c r="AP321" i="67"/>
  <c r="M321" i="67"/>
  <c r="F321" i="67"/>
  <c r="L321" i="67" s="1"/>
  <c r="AY320" i="67"/>
  <c r="AX320" i="67"/>
  <c r="AW320" i="67"/>
  <c r="AV320" i="67"/>
  <c r="AU320" i="67"/>
  <c r="AT320" i="67"/>
  <c r="AS320" i="67"/>
  <c r="AR320" i="67"/>
  <c r="AQ320" i="67"/>
  <c r="AP320" i="67"/>
  <c r="M320" i="67"/>
  <c r="F320" i="67"/>
  <c r="L320" i="67" s="1"/>
  <c r="AY319" i="67"/>
  <c r="AX319" i="67"/>
  <c r="AW319" i="67"/>
  <c r="AV319" i="67"/>
  <c r="AU319" i="67"/>
  <c r="AT319" i="67"/>
  <c r="AS319" i="67"/>
  <c r="AR319" i="67"/>
  <c r="AQ319" i="67"/>
  <c r="AP319" i="67"/>
  <c r="M319" i="67"/>
  <c r="L319" i="67"/>
  <c r="F319" i="67"/>
  <c r="AY318" i="67"/>
  <c r="AX318" i="67"/>
  <c r="AW318" i="67"/>
  <c r="AV318" i="67"/>
  <c r="AU318" i="67"/>
  <c r="AT318" i="67"/>
  <c r="AS318" i="67"/>
  <c r="AR318" i="67"/>
  <c r="AQ318" i="67"/>
  <c r="AP318" i="67"/>
  <c r="M318" i="67"/>
  <c r="F318" i="67"/>
  <c r="L318" i="67" s="1"/>
  <c r="AY317" i="67"/>
  <c r="AX317" i="67"/>
  <c r="AW317" i="67"/>
  <c r="AV317" i="67"/>
  <c r="AU317" i="67"/>
  <c r="AT317" i="67"/>
  <c r="AS317" i="67"/>
  <c r="AR317" i="67"/>
  <c r="AQ317" i="67"/>
  <c r="AP317" i="67"/>
  <c r="M317" i="67"/>
  <c r="L317" i="67"/>
  <c r="F317" i="67"/>
  <c r="AY316" i="67"/>
  <c r="AX316" i="67"/>
  <c r="AW316" i="67"/>
  <c r="AV316" i="67"/>
  <c r="AU316" i="67"/>
  <c r="AT316" i="67"/>
  <c r="AS316" i="67"/>
  <c r="AR316" i="67"/>
  <c r="AQ316" i="67"/>
  <c r="AP316" i="67"/>
  <c r="H316" i="67" s="1"/>
  <c r="M316" i="67"/>
  <c r="F316" i="67"/>
  <c r="L316" i="67" s="1"/>
  <c r="AY315" i="67"/>
  <c r="AX315" i="67"/>
  <c r="AW315" i="67"/>
  <c r="AV315" i="67"/>
  <c r="AU315" i="67"/>
  <c r="AT315" i="67"/>
  <c r="AS315" i="67"/>
  <c r="AR315" i="67"/>
  <c r="AQ315" i="67"/>
  <c r="AP315" i="67"/>
  <c r="H315" i="67" s="1"/>
  <c r="M315" i="67"/>
  <c r="L315" i="67"/>
  <c r="F315" i="67"/>
  <c r="AY314" i="67"/>
  <c r="AX314" i="67"/>
  <c r="AW314" i="67"/>
  <c r="AV314" i="67"/>
  <c r="AU314" i="67"/>
  <c r="AT314" i="67"/>
  <c r="AS314" i="67"/>
  <c r="AR314" i="67"/>
  <c r="AQ314" i="67"/>
  <c r="AP314" i="67"/>
  <c r="M314" i="67"/>
  <c r="F314" i="67"/>
  <c r="L314" i="67" s="1"/>
  <c r="AY313" i="67"/>
  <c r="AX313" i="67"/>
  <c r="AW313" i="67"/>
  <c r="AV313" i="67"/>
  <c r="AU313" i="67"/>
  <c r="AT313" i="67"/>
  <c r="AS313" i="67"/>
  <c r="AR313" i="67"/>
  <c r="AQ313" i="67"/>
  <c r="AP313" i="67"/>
  <c r="M313" i="67"/>
  <c r="F313" i="67"/>
  <c r="L313" i="67" s="1"/>
  <c r="AY312" i="67"/>
  <c r="AX312" i="67"/>
  <c r="AW312" i="67"/>
  <c r="AV312" i="67"/>
  <c r="AU312" i="67"/>
  <c r="AT312" i="67"/>
  <c r="AS312" i="67"/>
  <c r="AR312" i="67"/>
  <c r="AQ312" i="67"/>
  <c r="AP312" i="67"/>
  <c r="M312" i="67"/>
  <c r="F312" i="67"/>
  <c r="L312" i="67" s="1"/>
  <c r="AY311" i="67"/>
  <c r="AX311" i="67"/>
  <c r="AW311" i="67"/>
  <c r="AV311" i="67"/>
  <c r="AU311" i="67"/>
  <c r="AT311" i="67"/>
  <c r="AS311" i="67"/>
  <c r="AR311" i="67"/>
  <c r="H311" i="67" s="1"/>
  <c r="AQ311" i="67"/>
  <c r="AP311" i="67"/>
  <c r="M311" i="67"/>
  <c r="L311" i="67"/>
  <c r="F311" i="67"/>
  <c r="AY310" i="67"/>
  <c r="AX310" i="67"/>
  <c r="AW310" i="67"/>
  <c r="AV310" i="67"/>
  <c r="AU310" i="67"/>
  <c r="AT310" i="67"/>
  <c r="AS310" i="67"/>
  <c r="AR310" i="67"/>
  <c r="AQ310" i="67"/>
  <c r="AP310" i="67"/>
  <c r="M310" i="67"/>
  <c r="F310" i="67"/>
  <c r="L310" i="67" s="1"/>
  <c r="AY309" i="67"/>
  <c r="AX309" i="67"/>
  <c r="AW309" i="67"/>
  <c r="AV309" i="67"/>
  <c r="AU309" i="67"/>
  <c r="AT309" i="67"/>
  <c r="AS309" i="67"/>
  <c r="AR309" i="67"/>
  <c r="AQ309" i="67"/>
  <c r="AP309" i="67"/>
  <c r="M309" i="67"/>
  <c r="M332" i="67" s="1"/>
  <c r="L309" i="67"/>
  <c r="F309" i="67"/>
  <c r="L304" i="67"/>
  <c r="BS302" i="67"/>
  <c r="BR302" i="67"/>
  <c r="BQ302" i="67"/>
  <c r="BP302" i="67"/>
  <c r="BO302" i="67"/>
  <c r="BN302" i="67"/>
  <c r="BM302" i="67"/>
  <c r="BL302" i="67"/>
  <c r="BK302" i="67"/>
  <c r="BJ302" i="67"/>
  <c r="BI302" i="67"/>
  <c r="BH302" i="67"/>
  <c r="BG302" i="67"/>
  <c r="BF302" i="67"/>
  <c r="BE302" i="67"/>
  <c r="BD302" i="67"/>
  <c r="BC302" i="67"/>
  <c r="BB302" i="67"/>
  <c r="BA302" i="67"/>
  <c r="AZ302" i="67"/>
  <c r="AY302" i="67"/>
  <c r="AX302" i="67"/>
  <c r="AW302" i="67"/>
  <c r="AV302" i="67"/>
  <c r="AU302" i="67"/>
  <c r="AT302" i="67"/>
  <c r="AC302" i="67"/>
  <c r="AB302" i="67"/>
  <c r="AA302" i="67"/>
  <c r="Z302" i="67"/>
  <c r="Y302" i="67"/>
  <c r="X302" i="67"/>
  <c r="W302" i="67"/>
  <c r="V302" i="67"/>
  <c r="U302" i="67"/>
  <c r="T302" i="67"/>
  <c r="S302" i="67"/>
  <c r="R302" i="67"/>
  <c r="Q302" i="67"/>
  <c r="J302" i="67"/>
  <c r="F302" i="67"/>
  <c r="K302" i="67" s="1"/>
  <c r="AF302" i="67" s="1"/>
  <c r="BS301" i="67"/>
  <c r="BR301" i="67"/>
  <c r="BQ301" i="67"/>
  <c r="BP301" i="67"/>
  <c r="BO301" i="67"/>
  <c r="BN301" i="67"/>
  <c r="BM301" i="67"/>
  <c r="BL301" i="67"/>
  <c r="BK301" i="67"/>
  <c r="BJ301" i="67"/>
  <c r="BI301" i="67"/>
  <c r="BH301" i="67"/>
  <c r="BG301" i="67"/>
  <c r="BF301" i="67"/>
  <c r="BE301" i="67"/>
  <c r="BD301" i="67"/>
  <c r="BC301" i="67"/>
  <c r="BB301" i="67"/>
  <c r="BA301" i="67"/>
  <c r="AZ301" i="67"/>
  <c r="AY301" i="67"/>
  <c r="AX301" i="67"/>
  <c r="AW301" i="67"/>
  <c r="AV301" i="67"/>
  <c r="AU301" i="67"/>
  <c r="AT301" i="67"/>
  <c r="AC301" i="67"/>
  <c r="AB301" i="67"/>
  <c r="AA301" i="67"/>
  <c r="Z301" i="67"/>
  <c r="Y301" i="67"/>
  <c r="X301" i="67"/>
  <c r="W301" i="67"/>
  <c r="V301" i="67"/>
  <c r="U301" i="67"/>
  <c r="T301" i="67"/>
  <c r="S301" i="67"/>
  <c r="R301" i="67"/>
  <c r="Q301" i="67"/>
  <c r="J301" i="67"/>
  <c r="F301" i="67"/>
  <c r="BS300" i="67"/>
  <c r="BR300" i="67"/>
  <c r="BQ300" i="67"/>
  <c r="BP300" i="67"/>
  <c r="BO300" i="67"/>
  <c r="BN300" i="67"/>
  <c r="BM300" i="67"/>
  <c r="BL300" i="67"/>
  <c r="BK300" i="67"/>
  <c r="BJ300" i="67"/>
  <c r="BI300" i="67"/>
  <c r="BH300" i="67"/>
  <c r="BG300" i="67"/>
  <c r="BF300" i="67"/>
  <c r="BE300" i="67"/>
  <c r="BD300" i="67"/>
  <c r="BC300" i="67"/>
  <c r="BB300" i="67"/>
  <c r="BA300" i="67"/>
  <c r="AZ300" i="67"/>
  <c r="AY300" i="67"/>
  <c r="AX300" i="67"/>
  <c r="AW300" i="67"/>
  <c r="AV300" i="67"/>
  <c r="AU300" i="67"/>
  <c r="AT300" i="67"/>
  <c r="AC300" i="67"/>
  <c r="AB300" i="67"/>
  <c r="AA300" i="67"/>
  <c r="Z300" i="67"/>
  <c r="Y300" i="67"/>
  <c r="X300" i="67"/>
  <c r="W300" i="67"/>
  <c r="V300" i="67"/>
  <c r="U300" i="67"/>
  <c r="T300" i="67"/>
  <c r="S300" i="67"/>
  <c r="R300" i="67"/>
  <c r="Q300" i="67"/>
  <c r="J300" i="67"/>
  <c r="F300" i="67"/>
  <c r="K300" i="67" s="1"/>
  <c r="AF300" i="67" s="1"/>
  <c r="BS299" i="67"/>
  <c r="BR299" i="67"/>
  <c r="BQ299" i="67"/>
  <c r="BP299" i="67"/>
  <c r="BO299" i="67"/>
  <c r="BN299" i="67"/>
  <c r="BM299" i="67"/>
  <c r="BL299" i="67"/>
  <c r="BK299" i="67"/>
  <c r="BJ299" i="67"/>
  <c r="BI299" i="67"/>
  <c r="BH299" i="67"/>
  <c r="BG299" i="67"/>
  <c r="BF299" i="67"/>
  <c r="BE299" i="67"/>
  <c r="BD299" i="67"/>
  <c r="BC299" i="67"/>
  <c r="BB299" i="67"/>
  <c r="BA299" i="67"/>
  <c r="AZ299" i="67"/>
  <c r="AY299" i="67"/>
  <c r="AX299" i="67"/>
  <c r="AW299" i="67"/>
  <c r="AV299" i="67"/>
  <c r="AU299" i="67"/>
  <c r="AT299" i="67"/>
  <c r="AC299" i="67"/>
  <c r="AB299" i="67"/>
  <c r="AA299" i="67"/>
  <c r="Z299" i="67"/>
  <c r="Y299" i="67"/>
  <c r="X299" i="67"/>
  <c r="W299" i="67"/>
  <c r="V299" i="67"/>
  <c r="U299" i="67"/>
  <c r="T299" i="67"/>
  <c r="S299" i="67"/>
  <c r="R299" i="67"/>
  <c r="Q299" i="67"/>
  <c r="J299" i="67"/>
  <c r="F299" i="67"/>
  <c r="BS298" i="67"/>
  <c r="BR298" i="67"/>
  <c r="BQ298" i="67"/>
  <c r="BP298" i="67"/>
  <c r="BO298" i="67"/>
  <c r="BN298" i="67"/>
  <c r="BM298" i="67"/>
  <c r="BL298" i="67"/>
  <c r="BK298" i="67"/>
  <c r="BJ298" i="67"/>
  <c r="BI298" i="67"/>
  <c r="BH298" i="67"/>
  <c r="BG298" i="67"/>
  <c r="BF298" i="67"/>
  <c r="BE298" i="67"/>
  <c r="BD298" i="67"/>
  <c r="BC298" i="67"/>
  <c r="BB298" i="67"/>
  <c r="BA298" i="67"/>
  <c r="AZ298" i="67"/>
  <c r="AY298" i="67"/>
  <c r="AX298" i="67"/>
  <c r="AW298" i="67"/>
  <c r="AV298" i="67"/>
  <c r="AU298" i="67"/>
  <c r="AT298" i="67"/>
  <c r="AC298" i="67"/>
  <c r="AB298" i="67"/>
  <c r="AA298" i="67"/>
  <c r="Z298" i="67"/>
  <c r="Y298" i="67"/>
  <c r="X298" i="67"/>
  <c r="W298" i="67"/>
  <c r="V298" i="67"/>
  <c r="U298" i="67"/>
  <c r="T298" i="67"/>
  <c r="S298" i="67"/>
  <c r="R298" i="67"/>
  <c r="Q298" i="67"/>
  <c r="K298" i="67"/>
  <c r="AF298" i="67" s="1"/>
  <c r="J298" i="67"/>
  <c r="F298" i="67"/>
  <c r="BS297" i="67"/>
  <c r="BR297" i="67"/>
  <c r="BQ297" i="67"/>
  <c r="BP297" i="67"/>
  <c r="BO297" i="67"/>
  <c r="BN297" i="67"/>
  <c r="BM297" i="67"/>
  <c r="BL297" i="67"/>
  <c r="BK297" i="67"/>
  <c r="BJ297" i="67"/>
  <c r="BI297" i="67"/>
  <c r="BH297" i="67"/>
  <c r="BG297" i="67"/>
  <c r="BF297" i="67"/>
  <c r="BE297" i="67"/>
  <c r="BD297" i="67"/>
  <c r="BC297" i="67"/>
  <c r="BB297" i="67"/>
  <c r="BA297" i="67"/>
  <c r="AZ297" i="67"/>
  <c r="AY297" i="67"/>
  <c r="AX297" i="67"/>
  <c r="AW297" i="67"/>
  <c r="AV297" i="67"/>
  <c r="AU297" i="67"/>
  <c r="AT297" i="67"/>
  <c r="AC297" i="67"/>
  <c r="AB297" i="67"/>
  <c r="AA297" i="67"/>
  <c r="Z297" i="67"/>
  <c r="Y297" i="67"/>
  <c r="X297" i="67"/>
  <c r="W297" i="67"/>
  <c r="V297" i="67"/>
  <c r="U297" i="67"/>
  <c r="T297" i="67"/>
  <c r="S297" i="67"/>
  <c r="R297" i="67"/>
  <c r="Q297" i="67"/>
  <c r="J297" i="67"/>
  <c r="F297" i="67"/>
  <c r="K297" i="67" s="1"/>
  <c r="BS296" i="67"/>
  <c r="BR296" i="67"/>
  <c r="BQ296" i="67"/>
  <c r="BP296" i="67"/>
  <c r="BO296" i="67"/>
  <c r="BN296" i="67"/>
  <c r="BM296" i="67"/>
  <c r="BL296" i="67"/>
  <c r="BK296" i="67"/>
  <c r="BJ296" i="67"/>
  <c r="BI296" i="67"/>
  <c r="BH296" i="67"/>
  <c r="BG296" i="67"/>
  <c r="BF296" i="67"/>
  <c r="BE296" i="67"/>
  <c r="BD296" i="67"/>
  <c r="BC296" i="67"/>
  <c r="BB296" i="67"/>
  <c r="BA296" i="67"/>
  <c r="AZ296" i="67"/>
  <c r="AY296" i="67"/>
  <c r="AX296" i="67"/>
  <c r="AW296" i="67"/>
  <c r="AV296" i="67"/>
  <c r="AU296" i="67"/>
  <c r="AT296" i="67"/>
  <c r="AC296" i="67"/>
  <c r="AB296" i="67"/>
  <c r="AA296" i="67"/>
  <c r="Z296" i="67"/>
  <c r="Y296" i="67"/>
  <c r="X296" i="67"/>
  <c r="W296" i="67"/>
  <c r="V296" i="67"/>
  <c r="U296" i="67"/>
  <c r="T296" i="67"/>
  <c r="S296" i="67"/>
  <c r="R296" i="67"/>
  <c r="Q296" i="67"/>
  <c r="K296" i="67"/>
  <c r="AF296" i="67" s="1"/>
  <c r="J296" i="67"/>
  <c r="F296" i="67"/>
  <c r="BS295" i="67"/>
  <c r="BR295" i="67"/>
  <c r="BQ295" i="67"/>
  <c r="BP295" i="67"/>
  <c r="BO295" i="67"/>
  <c r="BN295" i="67"/>
  <c r="BM295" i="67"/>
  <c r="BL295" i="67"/>
  <c r="BK295" i="67"/>
  <c r="BJ295" i="67"/>
  <c r="BI295" i="67"/>
  <c r="BH295" i="67"/>
  <c r="BG295" i="67"/>
  <c r="BF295" i="67"/>
  <c r="BE295" i="67"/>
  <c r="BD295" i="67"/>
  <c r="BC295" i="67"/>
  <c r="BB295" i="67"/>
  <c r="BA295" i="67"/>
  <c r="AZ295" i="67"/>
  <c r="AY295" i="67"/>
  <c r="AX295" i="67"/>
  <c r="AW295" i="67"/>
  <c r="AV295" i="67"/>
  <c r="AU295" i="67"/>
  <c r="AT295" i="67"/>
  <c r="AC295" i="67"/>
  <c r="AB295" i="67"/>
  <c r="AA295" i="67"/>
  <c r="Z295" i="67"/>
  <c r="Y295" i="67"/>
  <c r="X295" i="67"/>
  <c r="W295" i="67"/>
  <c r="V295" i="67"/>
  <c r="U295" i="67"/>
  <c r="T295" i="67"/>
  <c r="S295" i="67"/>
  <c r="R295" i="67"/>
  <c r="Q295" i="67"/>
  <c r="J295" i="67"/>
  <c r="F295" i="67"/>
  <c r="BS294" i="67"/>
  <c r="BR294" i="67"/>
  <c r="BQ294" i="67"/>
  <c r="BP294" i="67"/>
  <c r="BO294" i="67"/>
  <c r="BN294" i="67"/>
  <c r="BM294" i="67"/>
  <c r="BL294" i="67"/>
  <c r="BK294" i="67"/>
  <c r="BJ294" i="67"/>
  <c r="BI294" i="67"/>
  <c r="BH294" i="67"/>
  <c r="BG294" i="67"/>
  <c r="BF294" i="67"/>
  <c r="BE294" i="67"/>
  <c r="BD294" i="67"/>
  <c r="BC294" i="67"/>
  <c r="BB294" i="67"/>
  <c r="BA294" i="67"/>
  <c r="AZ294" i="67"/>
  <c r="AY294" i="67"/>
  <c r="AX294" i="67"/>
  <c r="AW294" i="67"/>
  <c r="AV294" i="67"/>
  <c r="AU294" i="67"/>
  <c r="AT294" i="67"/>
  <c r="AC294" i="67"/>
  <c r="AB294" i="67"/>
  <c r="AA294" i="67"/>
  <c r="Z294" i="67"/>
  <c r="Y294" i="67"/>
  <c r="X294" i="67"/>
  <c r="W294" i="67"/>
  <c r="V294" i="67"/>
  <c r="U294" i="67"/>
  <c r="T294" i="67"/>
  <c r="S294" i="67"/>
  <c r="R294" i="67"/>
  <c r="Q294" i="67"/>
  <c r="J294" i="67"/>
  <c r="F294" i="67"/>
  <c r="K294" i="67" s="1"/>
  <c r="AF294" i="67" s="1"/>
  <c r="BS293" i="67"/>
  <c r="BR293" i="67"/>
  <c r="BQ293" i="67"/>
  <c r="BP293" i="67"/>
  <c r="BO293" i="67"/>
  <c r="BN293" i="67"/>
  <c r="BM293" i="67"/>
  <c r="BL293" i="67"/>
  <c r="BK293" i="67"/>
  <c r="BJ293" i="67"/>
  <c r="BI293" i="67"/>
  <c r="BH293" i="67"/>
  <c r="BG293" i="67"/>
  <c r="BF293" i="67"/>
  <c r="BE293" i="67"/>
  <c r="BD293" i="67"/>
  <c r="BC293" i="67"/>
  <c r="BB293" i="67"/>
  <c r="BA293" i="67"/>
  <c r="AZ293" i="67"/>
  <c r="AY293" i="67"/>
  <c r="AX293" i="67"/>
  <c r="AW293" i="67"/>
  <c r="AV293" i="67"/>
  <c r="AU293" i="67"/>
  <c r="AT293" i="67"/>
  <c r="AC293" i="67"/>
  <c r="AB293" i="67"/>
  <c r="AA293" i="67"/>
  <c r="Z293" i="67"/>
  <c r="Y293" i="67"/>
  <c r="X293" i="67"/>
  <c r="W293" i="67"/>
  <c r="V293" i="67"/>
  <c r="U293" i="67"/>
  <c r="T293" i="67"/>
  <c r="S293" i="67"/>
  <c r="R293" i="67"/>
  <c r="Q293" i="67"/>
  <c r="J293" i="67"/>
  <c r="F293" i="67"/>
  <c r="BS292" i="67"/>
  <c r="BR292" i="67"/>
  <c r="BQ292" i="67"/>
  <c r="BP292" i="67"/>
  <c r="BO292" i="67"/>
  <c r="BN292" i="67"/>
  <c r="BM292" i="67"/>
  <c r="BL292" i="67"/>
  <c r="BK292" i="67"/>
  <c r="BJ292" i="67"/>
  <c r="BI292" i="67"/>
  <c r="BH292" i="67"/>
  <c r="BG292" i="67"/>
  <c r="BF292" i="67"/>
  <c r="BE292" i="67"/>
  <c r="BD292" i="67"/>
  <c r="BC292" i="67"/>
  <c r="BB292" i="67"/>
  <c r="BA292" i="67"/>
  <c r="AZ292" i="67"/>
  <c r="AY292" i="67"/>
  <c r="AX292" i="67"/>
  <c r="AW292" i="67"/>
  <c r="AV292" i="67"/>
  <c r="AU292" i="67"/>
  <c r="AT292" i="67"/>
  <c r="AC292" i="67"/>
  <c r="AB292" i="67"/>
  <c r="AA292" i="67"/>
  <c r="Z292" i="67"/>
  <c r="Y292" i="67"/>
  <c r="X292" i="67"/>
  <c r="W292" i="67"/>
  <c r="V292" i="67"/>
  <c r="U292" i="67"/>
  <c r="T292" i="67"/>
  <c r="S292" i="67"/>
  <c r="R292" i="67"/>
  <c r="K292" i="67"/>
  <c r="AF292" i="67" s="1"/>
  <c r="J292" i="67"/>
  <c r="F292" i="67"/>
  <c r="BS291" i="67"/>
  <c r="BR291" i="67"/>
  <c r="BQ291" i="67"/>
  <c r="BP291" i="67"/>
  <c r="BO291" i="67"/>
  <c r="BN291" i="67"/>
  <c r="BM291" i="67"/>
  <c r="BL291" i="67"/>
  <c r="BK291" i="67"/>
  <c r="BJ291" i="67"/>
  <c r="BI291" i="67"/>
  <c r="BH291" i="67"/>
  <c r="BG291" i="67"/>
  <c r="BF291" i="67"/>
  <c r="BE291" i="67"/>
  <c r="BD291" i="67"/>
  <c r="BC291" i="67"/>
  <c r="BB291" i="67"/>
  <c r="BA291" i="67"/>
  <c r="AZ291" i="67"/>
  <c r="AY291" i="67"/>
  <c r="AX291" i="67"/>
  <c r="AW291" i="67"/>
  <c r="AV291" i="67"/>
  <c r="AU291" i="67"/>
  <c r="AT291" i="67"/>
  <c r="AC291" i="67"/>
  <c r="AB291" i="67"/>
  <c r="AA291" i="67"/>
  <c r="Z291" i="67"/>
  <c r="Y291" i="67"/>
  <c r="X291" i="67"/>
  <c r="W291" i="67"/>
  <c r="V291" i="67"/>
  <c r="U291" i="67"/>
  <c r="T291" i="67"/>
  <c r="S291" i="67"/>
  <c r="R291" i="67"/>
  <c r="J291" i="67"/>
  <c r="F291" i="67"/>
  <c r="BS290" i="67"/>
  <c r="BR290" i="67"/>
  <c r="BQ290" i="67"/>
  <c r="BP290" i="67"/>
  <c r="BO290" i="67"/>
  <c r="BN290" i="67"/>
  <c r="BM290" i="67"/>
  <c r="BL290" i="67"/>
  <c r="BK290" i="67"/>
  <c r="BJ290" i="67"/>
  <c r="BI290" i="67"/>
  <c r="BH290" i="67"/>
  <c r="BG290" i="67"/>
  <c r="BF290" i="67"/>
  <c r="BE290" i="67"/>
  <c r="BD290" i="67"/>
  <c r="BC290" i="67"/>
  <c r="BB290" i="67"/>
  <c r="BA290" i="67"/>
  <c r="AZ290" i="67"/>
  <c r="AY290" i="67"/>
  <c r="AX290" i="67"/>
  <c r="AW290" i="67"/>
  <c r="AV290" i="67"/>
  <c r="AU290" i="67"/>
  <c r="AT290" i="67"/>
  <c r="AC290" i="67"/>
  <c r="AB290" i="67"/>
  <c r="AA290" i="67"/>
  <c r="Z290" i="67"/>
  <c r="Y290" i="67"/>
  <c r="X290" i="67"/>
  <c r="W290" i="67"/>
  <c r="V290" i="67"/>
  <c r="U290" i="67"/>
  <c r="T290" i="67"/>
  <c r="S290" i="67"/>
  <c r="R290" i="67"/>
  <c r="J290" i="67"/>
  <c r="F290" i="67"/>
  <c r="K290" i="67" s="1"/>
  <c r="BS289" i="67"/>
  <c r="BR289" i="67"/>
  <c r="BQ289" i="67"/>
  <c r="BP289" i="67"/>
  <c r="BO289" i="67"/>
  <c r="BN289" i="67"/>
  <c r="BM289" i="67"/>
  <c r="BL289" i="67"/>
  <c r="BK289" i="67"/>
  <c r="BJ289" i="67"/>
  <c r="BI289" i="67"/>
  <c r="BH289" i="67"/>
  <c r="BG289" i="67"/>
  <c r="BF289" i="67"/>
  <c r="BE289" i="67"/>
  <c r="BD289" i="67"/>
  <c r="BC289" i="67"/>
  <c r="BB289" i="67"/>
  <c r="BA289" i="67"/>
  <c r="AZ289" i="67"/>
  <c r="AY289" i="67"/>
  <c r="AX289" i="67"/>
  <c r="AW289" i="67"/>
  <c r="AV289" i="67"/>
  <c r="AU289" i="67"/>
  <c r="AT289" i="67"/>
  <c r="AC289" i="67"/>
  <c r="AB289" i="67"/>
  <c r="AA289" i="67"/>
  <c r="Z289" i="67"/>
  <c r="Y289" i="67"/>
  <c r="X289" i="67"/>
  <c r="W289" i="67"/>
  <c r="V289" i="67"/>
  <c r="U289" i="67"/>
  <c r="T289" i="67"/>
  <c r="S289" i="67"/>
  <c r="R289" i="67"/>
  <c r="J289" i="67"/>
  <c r="F289" i="67"/>
  <c r="K289" i="67" s="1"/>
  <c r="BS288" i="67"/>
  <c r="BR288" i="67"/>
  <c r="BQ288" i="67"/>
  <c r="BP288" i="67"/>
  <c r="BO288" i="67"/>
  <c r="BN288" i="67"/>
  <c r="BM288" i="67"/>
  <c r="BL288" i="67"/>
  <c r="BK288" i="67"/>
  <c r="BJ288" i="67"/>
  <c r="BI288" i="67"/>
  <c r="BH288" i="67"/>
  <c r="BG288" i="67"/>
  <c r="BF288" i="67"/>
  <c r="BE288" i="67"/>
  <c r="BD288" i="67"/>
  <c r="BC288" i="67"/>
  <c r="BB288" i="67"/>
  <c r="BA288" i="67"/>
  <c r="AZ288" i="67"/>
  <c r="AY288" i="67"/>
  <c r="AX288" i="67"/>
  <c r="AW288" i="67"/>
  <c r="AV288" i="67"/>
  <c r="AU288" i="67"/>
  <c r="AT288" i="67"/>
  <c r="AC288" i="67"/>
  <c r="AB288" i="67"/>
  <c r="AA288" i="67"/>
  <c r="Z288" i="67"/>
  <c r="Y288" i="67"/>
  <c r="X288" i="67"/>
  <c r="W288" i="67"/>
  <c r="V288" i="67"/>
  <c r="U288" i="67"/>
  <c r="T288" i="67"/>
  <c r="S288" i="67"/>
  <c r="R288" i="67"/>
  <c r="J288" i="67"/>
  <c r="F288" i="67"/>
  <c r="K288" i="67" s="1"/>
  <c r="AF288" i="67" s="1"/>
  <c r="BS287" i="67"/>
  <c r="BR287" i="67"/>
  <c r="BQ287" i="67"/>
  <c r="BP287" i="67"/>
  <c r="BO287" i="67"/>
  <c r="BN287" i="67"/>
  <c r="BM287" i="67"/>
  <c r="BL287" i="67"/>
  <c r="BK287" i="67"/>
  <c r="BJ287" i="67"/>
  <c r="BI287" i="67"/>
  <c r="BH287" i="67"/>
  <c r="BG287" i="67"/>
  <c r="BF287" i="67"/>
  <c r="BE287" i="67"/>
  <c r="BD287" i="67"/>
  <c r="BC287" i="67"/>
  <c r="BB287" i="67"/>
  <c r="BA287" i="67"/>
  <c r="AZ287" i="67"/>
  <c r="AY287" i="67"/>
  <c r="AX287" i="67"/>
  <c r="AW287" i="67"/>
  <c r="AV287" i="67"/>
  <c r="AU287" i="67"/>
  <c r="AT287" i="67"/>
  <c r="AC287" i="67"/>
  <c r="AB287" i="67"/>
  <c r="AA287" i="67"/>
  <c r="Z287" i="67"/>
  <c r="Y287" i="67"/>
  <c r="X287" i="67"/>
  <c r="W287" i="67"/>
  <c r="V287" i="67"/>
  <c r="U287" i="67"/>
  <c r="T287" i="67"/>
  <c r="S287" i="67"/>
  <c r="R287" i="67"/>
  <c r="J287" i="67"/>
  <c r="F287" i="67"/>
  <c r="BS286" i="67"/>
  <c r="BR286" i="67"/>
  <c r="BQ286" i="67"/>
  <c r="BP286" i="67"/>
  <c r="BO286" i="67"/>
  <c r="BN286" i="67"/>
  <c r="BM286" i="67"/>
  <c r="BL286" i="67"/>
  <c r="BK286" i="67"/>
  <c r="BJ286" i="67"/>
  <c r="BI286" i="67"/>
  <c r="BH286" i="67"/>
  <c r="BG286" i="67"/>
  <c r="BF286" i="67"/>
  <c r="BE286" i="67"/>
  <c r="BD286" i="67"/>
  <c r="BC286" i="67"/>
  <c r="BB286" i="67"/>
  <c r="BA286" i="67"/>
  <c r="AZ286" i="67"/>
  <c r="AY286" i="67"/>
  <c r="AX286" i="67"/>
  <c r="AW286" i="67"/>
  <c r="AV286" i="67"/>
  <c r="AU286" i="67"/>
  <c r="AT286" i="67"/>
  <c r="AC286" i="67"/>
  <c r="AB286" i="67"/>
  <c r="AA286" i="67"/>
  <c r="Z286" i="67"/>
  <c r="Y286" i="67"/>
  <c r="X286" i="67"/>
  <c r="W286" i="67"/>
  <c r="V286" i="67"/>
  <c r="U286" i="67"/>
  <c r="T286" i="67"/>
  <c r="S286" i="67"/>
  <c r="R286" i="67"/>
  <c r="K286" i="67"/>
  <c r="AF286" i="67" s="1"/>
  <c r="J286" i="67"/>
  <c r="F286" i="67"/>
  <c r="BS285" i="67"/>
  <c r="BR285" i="67"/>
  <c r="BQ285" i="67"/>
  <c r="BP285" i="67"/>
  <c r="BO285" i="67"/>
  <c r="BN285" i="67"/>
  <c r="BM285" i="67"/>
  <c r="BL285" i="67"/>
  <c r="BK285" i="67"/>
  <c r="BJ285" i="67"/>
  <c r="BI285" i="67"/>
  <c r="BH285" i="67"/>
  <c r="BG285" i="67"/>
  <c r="BF285" i="67"/>
  <c r="BE285" i="67"/>
  <c r="BD285" i="67"/>
  <c r="BC285" i="67"/>
  <c r="BB285" i="67"/>
  <c r="BA285" i="67"/>
  <c r="AZ285" i="67"/>
  <c r="AY285" i="67"/>
  <c r="AX285" i="67"/>
  <c r="AW285" i="67"/>
  <c r="AV285" i="67"/>
  <c r="AU285" i="67"/>
  <c r="AT285" i="67"/>
  <c r="AC285" i="67"/>
  <c r="AB285" i="67"/>
  <c r="AA285" i="67"/>
  <c r="Z285" i="67"/>
  <c r="Y285" i="67"/>
  <c r="X285" i="67"/>
  <c r="W285" i="67"/>
  <c r="V285" i="67"/>
  <c r="U285" i="67"/>
  <c r="T285" i="67"/>
  <c r="S285" i="67"/>
  <c r="R285" i="67"/>
  <c r="J285" i="67"/>
  <c r="F285" i="67"/>
  <c r="BS284" i="67"/>
  <c r="BR284" i="67"/>
  <c r="BQ284" i="67"/>
  <c r="BP284" i="67"/>
  <c r="BO284" i="67"/>
  <c r="BN284" i="67"/>
  <c r="BM284" i="67"/>
  <c r="BL284" i="67"/>
  <c r="BK284" i="67"/>
  <c r="BJ284" i="67"/>
  <c r="BI284" i="67"/>
  <c r="BH284" i="67"/>
  <c r="BG284" i="67"/>
  <c r="BF284" i="67"/>
  <c r="BE284" i="67"/>
  <c r="BD284" i="67"/>
  <c r="BC284" i="67"/>
  <c r="BB284" i="67"/>
  <c r="BA284" i="67"/>
  <c r="AZ284" i="67"/>
  <c r="AY284" i="67"/>
  <c r="AX284" i="67"/>
  <c r="AW284" i="67"/>
  <c r="AV284" i="67"/>
  <c r="AU284" i="67"/>
  <c r="AT284" i="67"/>
  <c r="AC284" i="67"/>
  <c r="AB284" i="67"/>
  <c r="AA284" i="67"/>
  <c r="Z284" i="67"/>
  <c r="Y284" i="67"/>
  <c r="X284" i="67"/>
  <c r="W284" i="67"/>
  <c r="V284" i="67"/>
  <c r="U284" i="67"/>
  <c r="T284" i="67"/>
  <c r="S284" i="67"/>
  <c r="R284" i="67"/>
  <c r="J284" i="67"/>
  <c r="F284" i="67"/>
  <c r="K284" i="67" s="1"/>
  <c r="BS283" i="67"/>
  <c r="BR283" i="67"/>
  <c r="BQ283" i="67"/>
  <c r="BP283" i="67"/>
  <c r="BO283" i="67"/>
  <c r="BN283" i="67"/>
  <c r="BM283" i="67"/>
  <c r="BL283" i="67"/>
  <c r="BK283" i="67"/>
  <c r="BJ283" i="67"/>
  <c r="BI283" i="67"/>
  <c r="BH283" i="67"/>
  <c r="BG283" i="67"/>
  <c r="BF283" i="67"/>
  <c r="BE283" i="67"/>
  <c r="BD283" i="67"/>
  <c r="BC283" i="67"/>
  <c r="BB283" i="67"/>
  <c r="BA283" i="67"/>
  <c r="AZ283" i="67"/>
  <c r="AY283" i="67"/>
  <c r="AX283" i="67"/>
  <c r="AW283" i="67"/>
  <c r="AV283" i="67"/>
  <c r="AU283" i="67"/>
  <c r="AT283" i="67"/>
  <c r="AC283" i="67"/>
  <c r="AB283" i="67"/>
  <c r="AA283" i="67"/>
  <c r="Z283" i="67"/>
  <c r="Y283" i="67"/>
  <c r="X283" i="67"/>
  <c r="W283" i="67"/>
  <c r="V283" i="67"/>
  <c r="U283" i="67"/>
  <c r="T283" i="67"/>
  <c r="S283" i="67"/>
  <c r="R283" i="67"/>
  <c r="J283" i="67"/>
  <c r="F283" i="67"/>
  <c r="K283" i="67" s="1"/>
  <c r="BS282" i="67"/>
  <c r="BR282" i="67"/>
  <c r="BQ282" i="67"/>
  <c r="BP282" i="67"/>
  <c r="BO282" i="67"/>
  <c r="BN282" i="67"/>
  <c r="BM282" i="67"/>
  <c r="BL282" i="67"/>
  <c r="BK282" i="67"/>
  <c r="BJ282" i="67"/>
  <c r="BI282" i="67"/>
  <c r="BH282" i="67"/>
  <c r="BG282" i="67"/>
  <c r="BF282" i="67"/>
  <c r="BE282" i="67"/>
  <c r="BD282" i="67"/>
  <c r="BC282" i="67"/>
  <c r="BB282" i="67"/>
  <c r="BA282" i="67"/>
  <c r="AZ282" i="67"/>
  <c r="AY282" i="67"/>
  <c r="AX282" i="67"/>
  <c r="AW282" i="67"/>
  <c r="AV282" i="67"/>
  <c r="AU282" i="67"/>
  <c r="AT282" i="67"/>
  <c r="AC282" i="67"/>
  <c r="AB282" i="67"/>
  <c r="AA282" i="67"/>
  <c r="Z282" i="67"/>
  <c r="Y282" i="67"/>
  <c r="X282" i="67"/>
  <c r="W282" i="67"/>
  <c r="V282" i="67"/>
  <c r="U282" i="67"/>
  <c r="T282" i="67"/>
  <c r="S282" i="67"/>
  <c r="R282" i="67"/>
  <c r="Q282" i="67"/>
  <c r="K282" i="67"/>
  <c r="AF282" i="67" s="1"/>
  <c r="J282" i="67"/>
  <c r="F282" i="67"/>
  <c r="BS281" i="67"/>
  <c r="BR281" i="67"/>
  <c r="BQ281" i="67"/>
  <c r="BP281" i="67"/>
  <c r="BO281" i="67"/>
  <c r="BN281" i="67"/>
  <c r="BM281" i="67"/>
  <c r="BL281" i="67"/>
  <c r="BK281" i="67"/>
  <c r="BJ281" i="67"/>
  <c r="BI281" i="67"/>
  <c r="BH281" i="67"/>
  <c r="BG281" i="67"/>
  <c r="BF281" i="67"/>
  <c r="BE281" i="67"/>
  <c r="BD281" i="67"/>
  <c r="BC281" i="67"/>
  <c r="BB281" i="67"/>
  <c r="BA281" i="67"/>
  <c r="AZ281" i="67"/>
  <c r="AY281" i="67"/>
  <c r="AX281" i="67"/>
  <c r="AW281" i="67"/>
  <c r="AV281" i="67"/>
  <c r="AU281" i="67"/>
  <c r="AT281" i="67"/>
  <c r="AC281" i="67"/>
  <c r="AB281" i="67"/>
  <c r="AA281" i="67"/>
  <c r="Z281" i="67"/>
  <c r="Y281" i="67"/>
  <c r="X281" i="67"/>
  <c r="W281" i="67"/>
  <c r="V281" i="67"/>
  <c r="U281" i="67"/>
  <c r="T281" i="67"/>
  <c r="S281" i="67"/>
  <c r="R281" i="67"/>
  <c r="J281" i="67"/>
  <c r="F281" i="67"/>
  <c r="BS280" i="67"/>
  <c r="BR280" i="67"/>
  <c r="BQ280" i="67"/>
  <c r="BP280" i="67"/>
  <c r="BO280" i="67"/>
  <c r="BN280" i="67"/>
  <c r="BM280" i="67"/>
  <c r="BL280" i="67"/>
  <c r="BK280" i="67"/>
  <c r="BJ280" i="67"/>
  <c r="BI280" i="67"/>
  <c r="BH280" i="67"/>
  <c r="BG280" i="67"/>
  <c r="BF280" i="67"/>
  <c r="BE280" i="67"/>
  <c r="BD280" i="67"/>
  <c r="BC280" i="67"/>
  <c r="BB280" i="67"/>
  <c r="BA280" i="67"/>
  <c r="AZ280" i="67"/>
  <c r="AY280" i="67"/>
  <c r="AX280" i="67"/>
  <c r="AW280" i="67"/>
  <c r="AV280" i="67"/>
  <c r="AU280" i="67"/>
  <c r="AT280" i="67"/>
  <c r="AC280" i="67"/>
  <c r="AB280" i="67"/>
  <c r="AA280" i="67"/>
  <c r="Z280" i="67"/>
  <c r="Y280" i="67"/>
  <c r="X280" i="67"/>
  <c r="W280" i="67"/>
  <c r="V280" i="67"/>
  <c r="U280" i="67"/>
  <c r="T280" i="67"/>
  <c r="S280" i="67"/>
  <c r="R280" i="67"/>
  <c r="J280" i="67"/>
  <c r="F280" i="67"/>
  <c r="K280" i="67" s="1"/>
  <c r="BS279" i="67"/>
  <c r="BR279" i="67"/>
  <c r="BQ279" i="67"/>
  <c r="BP279" i="67"/>
  <c r="BO279" i="67"/>
  <c r="BN279" i="67"/>
  <c r="BM279" i="67"/>
  <c r="BL279" i="67"/>
  <c r="BK279" i="67"/>
  <c r="BJ279" i="67"/>
  <c r="BI279" i="67"/>
  <c r="BH279" i="67"/>
  <c r="BG279" i="67"/>
  <c r="BF279" i="67"/>
  <c r="BE279" i="67"/>
  <c r="BD279" i="67"/>
  <c r="BC279" i="67"/>
  <c r="BB279" i="67"/>
  <c r="BA279" i="67"/>
  <c r="AZ279" i="67"/>
  <c r="AY279" i="67"/>
  <c r="AX279" i="67"/>
  <c r="AW279" i="67"/>
  <c r="AV279" i="67"/>
  <c r="AU279" i="67"/>
  <c r="AT279" i="67"/>
  <c r="AC279" i="67"/>
  <c r="AB279" i="67"/>
  <c r="AA279" i="67"/>
  <c r="Z279" i="67"/>
  <c r="Y279" i="67"/>
  <c r="X279" i="67"/>
  <c r="W279" i="67"/>
  <c r="V279" i="67"/>
  <c r="U279" i="67"/>
  <c r="T279" i="67"/>
  <c r="S279" i="67"/>
  <c r="R279" i="67"/>
  <c r="J279" i="67"/>
  <c r="F279" i="67"/>
  <c r="K279" i="67" s="1"/>
  <c r="BS278" i="67"/>
  <c r="BR278" i="67"/>
  <c r="BQ278" i="67"/>
  <c r="BP278" i="67"/>
  <c r="BO278" i="67"/>
  <c r="BN278" i="67"/>
  <c r="BM278" i="67"/>
  <c r="BL278" i="67"/>
  <c r="BK278" i="67"/>
  <c r="BJ278" i="67"/>
  <c r="BI278" i="67"/>
  <c r="BH278" i="67"/>
  <c r="BG278" i="67"/>
  <c r="BF278" i="67"/>
  <c r="BE278" i="67"/>
  <c r="BD278" i="67"/>
  <c r="BC278" i="67"/>
  <c r="BB278" i="67"/>
  <c r="BA278" i="67"/>
  <c r="AZ278" i="67"/>
  <c r="AY278" i="67"/>
  <c r="AX278" i="67"/>
  <c r="AW278" i="67"/>
  <c r="AV278" i="67"/>
  <c r="AU278" i="67"/>
  <c r="AT278" i="67"/>
  <c r="AC278" i="67"/>
  <c r="AB278" i="67"/>
  <c r="AA278" i="67"/>
  <c r="Z278" i="67"/>
  <c r="Y278" i="67"/>
  <c r="X278" i="67"/>
  <c r="W278" i="67"/>
  <c r="V278" i="67"/>
  <c r="U278" i="67"/>
  <c r="T278" i="67"/>
  <c r="S278" i="67"/>
  <c r="R278" i="67"/>
  <c r="J278" i="67"/>
  <c r="F278" i="67"/>
  <c r="K278" i="67" s="1"/>
  <c r="AF278" i="67" s="1"/>
  <c r="BS277" i="67"/>
  <c r="BR277" i="67"/>
  <c r="BQ277" i="67"/>
  <c r="BP277" i="67"/>
  <c r="BO277" i="67"/>
  <c r="BN277" i="67"/>
  <c r="BM277" i="67"/>
  <c r="BL277" i="67"/>
  <c r="BK277" i="67"/>
  <c r="BJ277" i="67"/>
  <c r="BI277" i="67"/>
  <c r="BH277" i="67"/>
  <c r="BG277" i="67"/>
  <c r="BF277" i="67"/>
  <c r="BE277" i="67"/>
  <c r="BD277" i="67"/>
  <c r="BC277" i="67"/>
  <c r="BB277" i="67"/>
  <c r="BA277" i="67"/>
  <c r="AZ277" i="67"/>
  <c r="AY277" i="67"/>
  <c r="AX277" i="67"/>
  <c r="AW277" i="67"/>
  <c r="AV277" i="67"/>
  <c r="AU277" i="67"/>
  <c r="AT277" i="67"/>
  <c r="AC277" i="67"/>
  <c r="AB277" i="67"/>
  <c r="AA277" i="67"/>
  <c r="Z277" i="67"/>
  <c r="Y277" i="67"/>
  <c r="X277" i="67"/>
  <c r="W277" i="67"/>
  <c r="V277" i="67"/>
  <c r="U277" i="67"/>
  <c r="T277" i="67"/>
  <c r="S277" i="67"/>
  <c r="R277" i="67"/>
  <c r="J277" i="67"/>
  <c r="F277" i="67"/>
  <c r="BS276" i="67"/>
  <c r="BR276" i="67"/>
  <c r="BQ276" i="67"/>
  <c r="BP276" i="67"/>
  <c r="BO276" i="67"/>
  <c r="BN276" i="67"/>
  <c r="BM276" i="67"/>
  <c r="BL276" i="67"/>
  <c r="BK276" i="67"/>
  <c r="BJ276" i="67"/>
  <c r="BI276" i="67"/>
  <c r="BH276" i="67"/>
  <c r="BG276" i="67"/>
  <c r="BF276" i="67"/>
  <c r="BE276" i="67"/>
  <c r="BD276" i="67"/>
  <c r="BC276" i="67"/>
  <c r="BB276" i="67"/>
  <c r="BA276" i="67"/>
  <c r="AZ276" i="67"/>
  <c r="AY276" i="67"/>
  <c r="AX276" i="67"/>
  <c r="AW276" i="67"/>
  <c r="AV276" i="67"/>
  <c r="AU276" i="67"/>
  <c r="AT276" i="67"/>
  <c r="AC276" i="67"/>
  <c r="AB276" i="67"/>
  <c r="AA276" i="67"/>
  <c r="Z276" i="67"/>
  <c r="Y276" i="67"/>
  <c r="X276" i="67"/>
  <c r="W276" i="67"/>
  <c r="V276" i="67"/>
  <c r="U276" i="67"/>
  <c r="T276" i="67"/>
  <c r="S276" i="67"/>
  <c r="R276" i="67"/>
  <c r="J276" i="67"/>
  <c r="K276" i="67" s="1"/>
  <c r="F276" i="67"/>
  <c r="BS275" i="67"/>
  <c r="BR275" i="67"/>
  <c r="BQ275" i="67"/>
  <c r="BP275" i="67"/>
  <c r="BO275" i="67"/>
  <c r="BN275" i="67"/>
  <c r="BM275" i="67"/>
  <c r="BL275" i="67"/>
  <c r="BK275" i="67"/>
  <c r="BJ275" i="67"/>
  <c r="BI275" i="67"/>
  <c r="BH275" i="67"/>
  <c r="BG275" i="67"/>
  <c r="BF275" i="67"/>
  <c r="BE275" i="67"/>
  <c r="BD275" i="67"/>
  <c r="BC275" i="67"/>
  <c r="BB275" i="67"/>
  <c r="BA275" i="67"/>
  <c r="AZ275" i="67"/>
  <c r="AY275" i="67"/>
  <c r="AX275" i="67"/>
  <c r="AW275" i="67"/>
  <c r="AV275" i="67"/>
  <c r="AU275" i="67"/>
  <c r="AT275" i="67"/>
  <c r="AC275" i="67"/>
  <c r="AB275" i="67"/>
  <c r="AA275" i="67"/>
  <c r="Z275" i="67"/>
  <c r="Y275" i="67"/>
  <c r="X275" i="67"/>
  <c r="W275" i="67"/>
  <c r="V275" i="67"/>
  <c r="U275" i="67"/>
  <c r="T275" i="67"/>
  <c r="S275" i="67"/>
  <c r="R275" i="67"/>
  <c r="J275" i="67"/>
  <c r="F275" i="67"/>
  <c r="I264" i="67"/>
  <c r="D264" i="67"/>
  <c r="J264" i="67" s="1"/>
  <c r="I263" i="67"/>
  <c r="D263" i="67"/>
  <c r="J263" i="67" s="1"/>
  <c r="I262" i="67"/>
  <c r="D262" i="67"/>
  <c r="J262" i="67" s="1"/>
  <c r="I261" i="67"/>
  <c r="D261" i="67"/>
  <c r="J261" i="67" s="1"/>
  <c r="J260" i="67"/>
  <c r="I260" i="67"/>
  <c r="D260" i="67"/>
  <c r="J259" i="67"/>
  <c r="I259" i="67"/>
  <c r="D259" i="67"/>
  <c r="S258" i="67"/>
  <c r="J258" i="67"/>
  <c r="I258" i="67"/>
  <c r="D258" i="67"/>
  <c r="S257" i="67"/>
  <c r="J257" i="67"/>
  <c r="I257" i="67"/>
  <c r="D257" i="67"/>
  <c r="S256" i="67"/>
  <c r="J256" i="67"/>
  <c r="I256" i="67"/>
  <c r="D256" i="67"/>
  <c r="S255" i="67"/>
  <c r="J255" i="67"/>
  <c r="I255" i="67"/>
  <c r="D255" i="67"/>
  <c r="S254" i="67"/>
  <c r="J254" i="67"/>
  <c r="I254" i="67"/>
  <c r="D254" i="67"/>
  <c r="S253" i="67"/>
  <c r="J253" i="67"/>
  <c r="I253" i="67"/>
  <c r="D253" i="67"/>
  <c r="H242" i="67"/>
  <c r="I239" i="67"/>
  <c r="H240" i="67" s="1"/>
  <c r="B239" i="67"/>
  <c r="A239" i="67"/>
  <c r="AZ238" i="67"/>
  <c r="AY238" i="67"/>
  <c r="AX238" i="67"/>
  <c r="AW238" i="67"/>
  <c r="AV238" i="67"/>
  <c r="AU238" i="67"/>
  <c r="AT238" i="67"/>
  <c r="AS238" i="67"/>
  <c r="AR238" i="67"/>
  <c r="AQ238" i="67"/>
  <c r="P238" i="67"/>
  <c r="N238" i="67"/>
  <c r="F238" i="67"/>
  <c r="L238" i="67" s="1"/>
  <c r="AZ237" i="67"/>
  <c r="AY237" i="67"/>
  <c r="AX237" i="67"/>
  <c r="AW237" i="67"/>
  <c r="AV237" i="67"/>
  <c r="AU237" i="67"/>
  <c r="AT237" i="67"/>
  <c r="AS237" i="67"/>
  <c r="AR237" i="67"/>
  <c r="AQ237" i="67"/>
  <c r="P237" i="67"/>
  <c r="N237" i="67"/>
  <c r="F237" i="67"/>
  <c r="L237" i="67" s="1"/>
  <c r="AZ236" i="67"/>
  <c r="AY236" i="67"/>
  <c r="AX236" i="67"/>
  <c r="AW236" i="67"/>
  <c r="AV236" i="67"/>
  <c r="AU236" i="67"/>
  <c r="AT236" i="67"/>
  <c r="AS236" i="67"/>
  <c r="AR236" i="67"/>
  <c r="AQ236" i="67"/>
  <c r="P236" i="67"/>
  <c r="N236" i="67"/>
  <c r="F236" i="67"/>
  <c r="L236" i="67" s="1"/>
  <c r="AZ235" i="67"/>
  <c r="AY235" i="67"/>
  <c r="AX235" i="67"/>
  <c r="AW235" i="67"/>
  <c r="AV235" i="67"/>
  <c r="AU235" i="67"/>
  <c r="AT235" i="67"/>
  <c r="AS235" i="67"/>
  <c r="AR235" i="67"/>
  <c r="AQ235" i="67"/>
  <c r="P235" i="67"/>
  <c r="N235" i="67"/>
  <c r="M235" i="67"/>
  <c r="F235" i="67"/>
  <c r="L235" i="67" s="1"/>
  <c r="AZ234" i="67"/>
  <c r="AY234" i="67"/>
  <c r="AX234" i="67"/>
  <c r="AW234" i="67"/>
  <c r="AV234" i="67"/>
  <c r="AU234" i="67"/>
  <c r="AT234" i="67"/>
  <c r="AS234" i="67"/>
  <c r="AR234" i="67"/>
  <c r="AQ234" i="67"/>
  <c r="P234" i="67"/>
  <c r="N234" i="67"/>
  <c r="F234" i="67"/>
  <c r="L234" i="67" s="1"/>
  <c r="AZ233" i="67"/>
  <c r="AY233" i="67"/>
  <c r="AX233" i="67"/>
  <c r="AW233" i="67"/>
  <c r="AV233" i="67"/>
  <c r="AU233" i="67"/>
  <c r="AT233" i="67"/>
  <c r="AS233" i="67"/>
  <c r="AR233" i="67"/>
  <c r="AQ233" i="67"/>
  <c r="P233" i="67"/>
  <c r="N233" i="67"/>
  <c r="F233" i="67"/>
  <c r="L233" i="67" s="1"/>
  <c r="AZ232" i="67"/>
  <c r="AY232" i="67"/>
  <c r="AX232" i="67"/>
  <c r="AW232" i="67"/>
  <c r="AV232" i="67"/>
  <c r="AU232" i="67"/>
  <c r="AT232" i="67"/>
  <c r="AS232" i="67"/>
  <c r="AR232" i="67"/>
  <c r="AQ232" i="67"/>
  <c r="P232" i="67"/>
  <c r="N232" i="67"/>
  <c r="F232" i="67"/>
  <c r="L232" i="67" s="1"/>
  <c r="AZ231" i="67"/>
  <c r="AY231" i="67"/>
  <c r="AX231" i="67"/>
  <c r="AW231" i="67"/>
  <c r="AV231" i="67"/>
  <c r="AU231" i="67"/>
  <c r="AT231" i="67"/>
  <c r="AS231" i="67"/>
  <c r="AR231" i="67"/>
  <c r="AQ231" i="67"/>
  <c r="P231" i="67"/>
  <c r="N231" i="67"/>
  <c r="F231" i="67"/>
  <c r="AZ230" i="67"/>
  <c r="AY230" i="67"/>
  <c r="AX230" i="67"/>
  <c r="AW230" i="67"/>
  <c r="AV230" i="67"/>
  <c r="AU230" i="67"/>
  <c r="AT230" i="67"/>
  <c r="AS230" i="67"/>
  <c r="AR230" i="67"/>
  <c r="AQ230" i="67"/>
  <c r="P230" i="67"/>
  <c r="N230" i="67"/>
  <c r="F230" i="67"/>
  <c r="L230" i="67" s="1"/>
  <c r="AZ229" i="67"/>
  <c r="AY229" i="67"/>
  <c r="AX229" i="67"/>
  <c r="AW229" i="67"/>
  <c r="AV229" i="67"/>
  <c r="AU229" i="67"/>
  <c r="AT229" i="67"/>
  <c r="AS229" i="67"/>
  <c r="AR229" i="67"/>
  <c r="AQ229" i="67"/>
  <c r="P229" i="67"/>
  <c r="N229" i="67"/>
  <c r="F229" i="67"/>
  <c r="L229" i="67" s="1"/>
  <c r="AZ228" i="67"/>
  <c r="AY228" i="67"/>
  <c r="AX228" i="67"/>
  <c r="AW228" i="67"/>
  <c r="AV228" i="67"/>
  <c r="AU228" i="67"/>
  <c r="AT228" i="67"/>
  <c r="AS228" i="67"/>
  <c r="AR228" i="67"/>
  <c r="AQ228" i="67"/>
  <c r="P228" i="67"/>
  <c r="N228" i="67"/>
  <c r="F228" i="67"/>
  <c r="L228" i="67" s="1"/>
  <c r="AZ227" i="67"/>
  <c r="AY227" i="67"/>
  <c r="AX227" i="67"/>
  <c r="AW227" i="67"/>
  <c r="AV227" i="67"/>
  <c r="AU227" i="67"/>
  <c r="AT227" i="67"/>
  <c r="AS227" i="67"/>
  <c r="AR227" i="67"/>
  <c r="AQ227" i="67"/>
  <c r="P227" i="67"/>
  <c r="N227" i="67"/>
  <c r="M227" i="67"/>
  <c r="F227" i="67"/>
  <c r="L227" i="67" s="1"/>
  <c r="AZ226" i="67"/>
  <c r="AY226" i="67"/>
  <c r="AX226" i="67"/>
  <c r="AW226" i="67"/>
  <c r="AV226" i="67"/>
  <c r="AU226" i="67"/>
  <c r="AT226" i="67"/>
  <c r="AS226" i="67"/>
  <c r="AR226" i="67"/>
  <c r="AQ226" i="67"/>
  <c r="P226" i="67"/>
  <c r="N226" i="67"/>
  <c r="F226" i="67"/>
  <c r="L226" i="67" s="1"/>
  <c r="AZ225" i="67"/>
  <c r="AY225" i="67"/>
  <c r="AX225" i="67"/>
  <c r="AW225" i="67"/>
  <c r="AV225" i="67"/>
  <c r="AU225" i="67"/>
  <c r="AT225" i="67"/>
  <c r="AS225" i="67"/>
  <c r="AR225" i="67"/>
  <c r="AQ225" i="67"/>
  <c r="P225" i="67"/>
  <c r="N225" i="67"/>
  <c r="F225" i="67"/>
  <c r="L225" i="67" s="1"/>
  <c r="AZ224" i="67"/>
  <c r="AY224" i="67"/>
  <c r="AX224" i="67"/>
  <c r="AW224" i="67"/>
  <c r="AV224" i="67"/>
  <c r="AU224" i="67"/>
  <c r="AT224" i="67"/>
  <c r="AS224" i="67"/>
  <c r="AR224" i="67"/>
  <c r="AQ224" i="67"/>
  <c r="P224" i="67"/>
  <c r="N224" i="67"/>
  <c r="F224" i="67"/>
  <c r="L224" i="67" s="1"/>
  <c r="AZ223" i="67"/>
  <c r="AY223" i="67"/>
  <c r="AX223" i="67"/>
  <c r="AW223" i="67"/>
  <c r="AV223" i="67"/>
  <c r="AU223" i="67"/>
  <c r="AT223" i="67"/>
  <c r="AS223" i="67"/>
  <c r="AR223" i="67"/>
  <c r="AQ223" i="67"/>
  <c r="P223" i="67"/>
  <c r="N223" i="67"/>
  <c r="M223" i="67"/>
  <c r="F223" i="67"/>
  <c r="L223" i="67" s="1"/>
  <c r="AZ222" i="67"/>
  <c r="AY222" i="67"/>
  <c r="AX222" i="67"/>
  <c r="AW222" i="67"/>
  <c r="AV222" i="67"/>
  <c r="AU222" i="67"/>
  <c r="AT222" i="67"/>
  <c r="AS222" i="67"/>
  <c r="AR222" i="67"/>
  <c r="AQ222" i="67"/>
  <c r="H222" i="67" s="1"/>
  <c r="P222" i="67"/>
  <c r="N222" i="67"/>
  <c r="F222" i="67"/>
  <c r="L222" i="67" s="1"/>
  <c r="AZ221" i="67"/>
  <c r="AY221" i="67"/>
  <c r="AX221" i="67"/>
  <c r="AW221" i="67"/>
  <c r="AV221" i="67"/>
  <c r="AU221" i="67"/>
  <c r="AT221" i="67"/>
  <c r="AS221" i="67"/>
  <c r="AR221" i="67"/>
  <c r="AQ221" i="67"/>
  <c r="H221" i="67" s="1"/>
  <c r="P221" i="67"/>
  <c r="N221" i="67"/>
  <c r="F221" i="67"/>
  <c r="L221" i="67" s="1"/>
  <c r="AZ220" i="67"/>
  <c r="AY220" i="67"/>
  <c r="AX220" i="67"/>
  <c r="AW220" i="67"/>
  <c r="AV220" i="67"/>
  <c r="AU220" i="67"/>
  <c r="AT220" i="67"/>
  <c r="AS220" i="67"/>
  <c r="AR220" i="67"/>
  <c r="AQ220" i="67"/>
  <c r="P220" i="67"/>
  <c r="N220" i="67"/>
  <c r="F220" i="67"/>
  <c r="L220" i="67" s="1"/>
  <c r="AZ219" i="67"/>
  <c r="AY219" i="67"/>
  <c r="AX219" i="67"/>
  <c r="AW219" i="67"/>
  <c r="AV219" i="67"/>
  <c r="AU219" i="67"/>
  <c r="AT219" i="67"/>
  <c r="H219" i="67" s="1"/>
  <c r="AS219" i="67"/>
  <c r="AR219" i="67"/>
  <c r="AQ219" i="67"/>
  <c r="P219" i="67"/>
  <c r="N219" i="67"/>
  <c r="M219" i="67"/>
  <c r="F219" i="67"/>
  <c r="L219" i="67" s="1"/>
  <c r="AZ218" i="67"/>
  <c r="AY218" i="67"/>
  <c r="AX218" i="67"/>
  <c r="AW218" i="67"/>
  <c r="AV218" i="67"/>
  <c r="AU218" i="67"/>
  <c r="AT218" i="67"/>
  <c r="AS218" i="67"/>
  <c r="AR218" i="67"/>
  <c r="AQ218" i="67"/>
  <c r="H218" i="67" s="1"/>
  <c r="P218" i="67"/>
  <c r="N218" i="67"/>
  <c r="F218" i="67"/>
  <c r="L218" i="67" s="1"/>
  <c r="AZ217" i="67"/>
  <c r="AY217" i="67"/>
  <c r="AX217" i="67"/>
  <c r="AW217" i="67"/>
  <c r="AV217" i="67"/>
  <c r="AU217" i="67"/>
  <c r="AT217" i="67"/>
  <c r="AS217" i="67"/>
  <c r="AR217" i="67"/>
  <c r="AQ217" i="67"/>
  <c r="P217" i="67"/>
  <c r="N217" i="67"/>
  <c r="F217" i="67"/>
  <c r="L217" i="67" s="1"/>
  <c r="AZ216" i="67"/>
  <c r="AY216" i="67"/>
  <c r="AX216" i="67"/>
  <c r="AW216" i="67"/>
  <c r="AV216" i="67"/>
  <c r="AU216" i="67"/>
  <c r="AT216" i="67"/>
  <c r="AS216" i="67"/>
  <c r="AR216" i="67"/>
  <c r="AQ216" i="67"/>
  <c r="P216" i="67"/>
  <c r="N216" i="67"/>
  <c r="F216" i="67"/>
  <c r="L216" i="67" s="1"/>
  <c r="AZ215" i="67"/>
  <c r="AY215" i="67"/>
  <c r="AX215" i="67"/>
  <c r="AW215" i="67"/>
  <c r="AV215" i="67"/>
  <c r="AU215" i="67"/>
  <c r="AT215" i="67"/>
  <c r="AS215" i="67"/>
  <c r="AR215" i="67"/>
  <c r="AQ215" i="67"/>
  <c r="H215" i="67" s="1"/>
  <c r="P215" i="67"/>
  <c r="N215" i="67"/>
  <c r="F215" i="67"/>
  <c r="AZ214" i="67"/>
  <c r="AY214" i="67"/>
  <c r="AX214" i="67"/>
  <c r="AW214" i="67"/>
  <c r="AV214" i="67"/>
  <c r="AU214" i="67"/>
  <c r="AT214" i="67"/>
  <c r="AS214" i="67"/>
  <c r="H214" i="67" s="1"/>
  <c r="AR214" i="67"/>
  <c r="AQ214" i="67"/>
  <c r="P214" i="67"/>
  <c r="N214" i="67"/>
  <c r="F214" i="67"/>
  <c r="L214" i="67" s="1"/>
  <c r="AZ213" i="67"/>
  <c r="AY213" i="67"/>
  <c r="AX213" i="67"/>
  <c r="AW213" i="67"/>
  <c r="AV213" i="67"/>
  <c r="AU213" i="67"/>
  <c r="AT213" i="67"/>
  <c r="AS213" i="67"/>
  <c r="AR213" i="67"/>
  <c r="AQ213" i="67"/>
  <c r="P213" i="67"/>
  <c r="N213" i="67"/>
  <c r="F213" i="67"/>
  <c r="L213" i="67" s="1"/>
  <c r="AZ212" i="67"/>
  <c r="AY212" i="67"/>
  <c r="AX212" i="67"/>
  <c r="AW212" i="67"/>
  <c r="AV212" i="67"/>
  <c r="AU212" i="67"/>
  <c r="AT212" i="67"/>
  <c r="AS212" i="67"/>
  <c r="AR212" i="67"/>
  <c r="AQ212" i="67"/>
  <c r="H212" i="67" s="1"/>
  <c r="P212" i="67"/>
  <c r="N212" i="67"/>
  <c r="F212" i="67"/>
  <c r="L212" i="67" s="1"/>
  <c r="AZ211" i="67"/>
  <c r="AY211" i="67"/>
  <c r="AX211" i="67"/>
  <c r="AW211" i="67"/>
  <c r="AV211" i="67"/>
  <c r="AU211" i="67"/>
  <c r="AT211" i="67"/>
  <c r="AS211" i="67"/>
  <c r="AR211" i="67"/>
  <c r="AQ211" i="67"/>
  <c r="H211" i="67" s="1"/>
  <c r="P211" i="67"/>
  <c r="N211" i="67"/>
  <c r="F211" i="67"/>
  <c r="L211" i="67" s="1"/>
  <c r="AZ210" i="67"/>
  <c r="AY210" i="67"/>
  <c r="AX210" i="67"/>
  <c r="AW210" i="67"/>
  <c r="AV210" i="67"/>
  <c r="AU210" i="67"/>
  <c r="AT210" i="67"/>
  <c r="AS210" i="67"/>
  <c r="AR210" i="67"/>
  <c r="AQ210" i="67"/>
  <c r="H210" i="67" s="1"/>
  <c r="P210" i="67"/>
  <c r="N210" i="67"/>
  <c r="F210" i="67"/>
  <c r="L210" i="67" s="1"/>
  <c r="AZ209" i="67"/>
  <c r="AY209" i="67"/>
  <c r="AX209" i="67"/>
  <c r="AW209" i="67"/>
  <c r="AV209" i="67"/>
  <c r="AU209" i="67"/>
  <c r="AT209" i="67"/>
  <c r="H209" i="67" s="1"/>
  <c r="AS209" i="67"/>
  <c r="AR209" i="67"/>
  <c r="AQ209" i="67"/>
  <c r="P209" i="67"/>
  <c r="N209" i="67"/>
  <c r="F209" i="67"/>
  <c r="L209" i="67" s="1"/>
  <c r="AZ208" i="67"/>
  <c r="AY208" i="67"/>
  <c r="AX208" i="67"/>
  <c r="AW208" i="67"/>
  <c r="AV208" i="67"/>
  <c r="AU208" i="67"/>
  <c r="AT208" i="67"/>
  <c r="AS208" i="67"/>
  <c r="AR208" i="67"/>
  <c r="AQ208" i="67"/>
  <c r="H208" i="67" s="1"/>
  <c r="P208" i="67"/>
  <c r="N208" i="67"/>
  <c r="F208" i="67"/>
  <c r="L208" i="67" s="1"/>
  <c r="AZ207" i="67"/>
  <c r="AY207" i="67"/>
  <c r="AX207" i="67"/>
  <c r="AW207" i="67"/>
  <c r="AV207" i="67"/>
  <c r="AU207" i="67"/>
  <c r="AT207" i="67"/>
  <c r="AS207" i="67"/>
  <c r="AR207" i="67"/>
  <c r="AQ207" i="67"/>
  <c r="H207" i="67" s="1"/>
  <c r="P207" i="67"/>
  <c r="N207" i="67"/>
  <c r="F207" i="67"/>
  <c r="L207" i="67" s="1"/>
  <c r="AZ206" i="67"/>
  <c r="AY206" i="67"/>
  <c r="AX206" i="67"/>
  <c r="AW206" i="67"/>
  <c r="AV206" i="67"/>
  <c r="AU206" i="67"/>
  <c r="AT206" i="67"/>
  <c r="AS206" i="67"/>
  <c r="AR206" i="67"/>
  <c r="AQ206" i="67"/>
  <c r="H206" i="67" s="1"/>
  <c r="P206" i="67"/>
  <c r="N206" i="67"/>
  <c r="F206" i="67"/>
  <c r="L206" i="67" s="1"/>
  <c r="AZ205" i="67"/>
  <c r="AY205" i="67"/>
  <c r="AX205" i="67"/>
  <c r="AW205" i="67"/>
  <c r="AV205" i="67"/>
  <c r="AU205" i="67"/>
  <c r="AT205" i="67"/>
  <c r="AS205" i="67"/>
  <c r="AR205" i="67"/>
  <c r="AQ205" i="67"/>
  <c r="P205" i="67"/>
  <c r="N205" i="67"/>
  <c r="F205" i="67"/>
  <c r="L205" i="67" s="1"/>
  <c r="AZ204" i="67"/>
  <c r="AY204" i="67"/>
  <c r="AX204" i="67"/>
  <c r="AW204" i="67"/>
  <c r="AV204" i="67"/>
  <c r="AU204" i="67"/>
  <c r="AT204" i="67"/>
  <c r="AS204" i="67"/>
  <c r="AR204" i="67"/>
  <c r="AQ204" i="67"/>
  <c r="H204" i="67" s="1"/>
  <c r="P204" i="67"/>
  <c r="N204" i="67"/>
  <c r="F204" i="67"/>
  <c r="M204" i="67" s="1"/>
  <c r="AZ203" i="67"/>
  <c r="AY203" i="67"/>
  <c r="AX203" i="67"/>
  <c r="AW203" i="67"/>
  <c r="AV203" i="67"/>
  <c r="AU203" i="67"/>
  <c r="AT203" i="67"/>
  <c r="AS203" i="67"/>
  <c r="AR203" i="67"/>
  <c r="AQ203" i="67"/>
  <c r="H203" i="67" s="1"/>
  <c r="P203" i="67"/>
  <c r="N203" i="67"/>
  <c r="F203" i="67"/>
  <c r="M203" i="67" s="1"/>
  <c r="AZ202" i="67"/>
  <c r="AY202" i="67"/>
  <c r="AX202" i="67"/>
  <c r="AW202" i="67"/>
  <c r="AV202" i="67"/>
  <c r="AU202" i="67"/>
  <c r="AT202" i="67"/>
  <c r="AS202" i="67"/>
  <c r="H202" i="67" s="1"/>
  <c r="AR202" i="67"/>
  <c r="AQ202" i="67"/>
  <c r="P202" i="67"/>
  <c r="N202" i="67"/>
  <c r="F202" i="67"/>
  <c r="M202" i="67" s="1"/>
  <c r="AZ201" i="67"/>
  <c r="AY201" i="67"/>
  <c r="AX201" i="67"/>
  <c r="AW201" i="67"/>
  <c r="AV201" i="67"/>
  <c r="AU201" i="67"/>
  <c r="AT201" i="67"/>
  <c r="AS201" i="67"/>
  <c r="AR201" i="67"/>
  <c r="AQ201" i="67"/>
  <c r="P201" i="67"/>
  <c r="N201" i="67"/>
  <c r="F201" i="67"/>
  <c r="L201" i="67" s="1"/>
  <c r="AZ200" i="67"/>
  <c r="AY200" i="67"/>
  <c r="AX200" i="67"/>
  <c r="AW200" i="67"/>
  <c r="AV200" i="67"/>
  <c r="AU200" i="67"/>
  <c r="AT200" i="67"/>
  <c r="AS200" i="67"/>
  <c r="AR200" i="67"/>
  <c r="AQ200" i="67"/>
  <c r="H200" i="67" s="1"/>
  <c r="P200" i="67"/>
  <c r="N200" i="67"/>
  <c r="F200" i="67"/>
  <c r="M200" i="67" s="1"/>
  <c r="AZ199" i="67"/>
  <c r="AY199" i="67"/>
  <c r="AX199" i="67"/>
  <c r="AW199" i="67"/>
  <c r="AV199" i="67"/>
  <c r="AU199" i="67"/>
  <c r="AT199" i="67"/>
  <c r="AS199" i="67"/>
  <c r="AR199" i="67"/>
  <c r="AQ199" i="67"/>
  <c r="H199" i="67" s="1"/>
  <c r="P199" i="67"/>
  <c r="N199" i="67"/>
  <c r="F199" i="67"/>
  <c r="M199" i="67" s="1"/>
  <c r="AZ198" i="67"/>
  <c r="AY198" i="67"/>
  <c r="AX198" i="67"/>
  <c r="AW198" i="67"/>
  <c r="AV198" i="67"/>
  <c r="AU198" i="67"/>
  <c r="AT198" i="67"/>
  <c r="AS198" i="67"/>
  <c r="H198" i="67" s="1"/>
  <c r="AR198" i="67"/>
  <c r="AQ198" i="67"/>
  <c r="P198" i="67"/>
  <c r="N198" i="67"/>
  <c r="F198" i="67"/>
  <c r="M198" i="67" s="1"/>
  <c r="AZ197" i="67"/>
  <c r="AY197" i="67"/>
  <c r="AX197" i="67"/>
  <c r="AW197" i="67"/>
  <c r="AV197" i="67"/>
  <c r="AU197" i="67"/>
  <c r="AT197" i="67"/>
  <c r="AS197" i="67"/>
  <c r="AR197" i="67"/>
  <c r="AQ197" i="67"/>
  <c r="P197" i="67"/>
  <c r="N197" i="67"/>
  <c r="F197" i="67"/>
  <c r="L197" i="67" s="1"/>
  <c r="AZ196" i="67"/>
  <c r="AY196" i="67"/>
  <c r="AX196" i="67"/>
  <c r="AW196" i="67"/>
  <c r="AV196" i="67"/>
  <c r="AU196" i="67"/>
  <c r="AT196" i="67"/>
  <c r="AS196" i="67"/>
  <c r="AR196" i="67"/>
  <c r="AQ196" i="67"/>
  <c r="H196" i="67" s="1"/>
  <c r="P196" i="67"/>
  <c r="N196" i="67"/>
  <c r="F196" i="67"/>
  <c r="L196" i="67" s="1"/>
  <c r="AZ195" i="67"/>
  <c r="AY195" i="67"/>
  <c r="AX195" i="67"/>
  <c r="AW195" i="67"/>
  <c r="AV195" i="67"/>
  <c r="AU195" i="67"/>
  <c r="AT195" i="67"/>
  <c r="AS195" i="67"/>
  <c r="AR195" i="67"/>
  <c r="AQ195" i="67"/>
  <c r="H195" i="67" s="1"/>
  <c r="P195" i="67"/>
  <c r="N195" i="67"/>
  <c r="F195" i="67"/>
  <c r="M195" i="67" s="1"/>
  <c r="AZ194" i="67"/>
  <c r="AY194" i="67"/>
  <c r="AX194" i="67"/>
  <c r="AW194" i="67"/>
  <c r="AV194" i="67"/>
  <c r="AU194" i="67"/>
  <c r="AT194" i="67"/>
  <c r="AS194" i="67"/>
  <c r="AR194" i="67"/>
  <c r="H194" i="67" s="1"/>
  <c r="AQ194" i="67"/>
  <c r="P194" i="67"/>
  <c r="N194" i="67"/>
  <c r="F194" i="67"/>
  <c r="M194" i="67" s="1"/>
  <c r="AZ193" i="67"/>
  <c r="AY193" i="67"/>
  <c r="AX193" i="67"/>
  <c r="AW193" i="67"/>
  <c r="AV193" i="67"/>
  <c r="AU193" i="67"/>
  <c r="AT193" i="67"/>
  <c r="AS193" i="67"/>
  <c r="AR193" i="67"/>
  <c r="AQ193" i="67"/>
  <c r="P193" i="67"/>
  <c r="N193" i="67"/>
  <c r="F193" i="67"/>
  <c r="L193" i="67" s="1"/>
  <c r="AZ192" i="67"/>
  <c r="AY192" i="67"/>
  <c r="AX192" i="67"/>
  <c r="AW192" i="67"/>
  <c r="AV192" i="67"/>
  <c r="AU192" i="67"/>
  <c r="AT192" i="67"/>
  <c r="AS192" i="67"/>
  <c r="AR192" i="67"/>
  <c r="AQ192" i="67"/>
  <c r="P192" i="67"/>
  <c r="N192" i="67"/>
  <c r="F192" i="67"/>
  <c r="M192" i="67" s="1"/>
  <c r="AZ191" i="67"/>
  <c r="AY191" i="67"/>
  <c r="AX191" i="67"/>
  <c r="AW191" i="67"/>
  <c r="AV191" i="67"/>
  <c r="AU191" i="67"/>
  <c r="AT191" i="67"/>
  <c r="AS191" i="67"/>
  <c r="AR191" i="67"/>
  <c r="AQ191" i="67"/>
  <c r="H191" i="67" s="1"/>
  <c r="P191" i="67"/>
  <c r="N191" i="67"/>
  <c r="F191" i="67"/>
  <c r="M191" i="67" s="1"/>
  <c r="AZ190" i="67"/>
  <c r="AY190" i="67"/>
  <c r="AX190" i="67"/>
  <c r="AW190" i="67"/>
  <c r="AV190" i="67"/>
  <c r="AU190" i="67"/>
  <c r="AT190" i="67"/>
  <c r="AS190" i="67"/>
  <c r="AR190" i="67"/>
  <c r="H190" i="67" s="1"/>
  <c r="AQ190" i="67"/>
  <c r="P190" i="67"/>
  <c r="N190" i="67"/>
  <c r="F190" i="67"/>
  <c r="M190" i="67" s="1"/>
  <c r="AZ189" i="67"/>
  <c r="AY189" i="67"/>
  <c r="AX189" i="67"/>
  <c r="AW189" i="67"/>
  <c r="AV189" i="67"/>
  <c r="AU189" i="67"/>
  <c r="AT189" i="67"/>
  <c r="AS189" i="67"/>
  <c r="AR189" i="67"/>
  <c r="AQ189" i="67"/>
  <c r="P189" i="67"/>
  <c r="N189" i="67"/>
  <c r="F189" i="67"/>
  <c r="L189" i="67" s="1"/>
  <c r="AZ188" i="67"/>
  <c r="AY188" i="67"/>
  <c r="AX188" i="67"/>
  <c r="AW188" i="67"/>
  <c r="AV188" i="67"/>
  <c r="AU188" i="67"/>
  <c r="AT188" i="67"/>
  <c r="AS188" i="67"/>
  <c r="AR188" i="67"/>
  <c r="AQ188" i="67"/>
  <c r="P188" i="67"/>
  <c r="N188" i="67"/>
  <c r="F188" i="67"/>
  <c r="M188" i="67" s="1"/>
  <c r="AZ119" i="67"/>
  <c r="AY119" i="67"/>
  <c r="AX119" i="67"/>
  <c r="AW119" i="67"/>
  <c r="AV119" i="67"/>
  <c r="AU119" i="67"/>
  <c r="AT119" i="67"/>
  <c r="AS119" i="67"/>
  <c r="AR119" i="67"/>
  <c r="AQ119" i="67"/>
  <c r="P119" i="67"/>
  <c r="N119" i="67"/>
  <c r="F119" i="67"/>
  <c r="M119" i="67" s="1"/>
  <c r="L114" i="67"/>
  <c r="O113" i="67"/>
  <c r="H384" i="67" s="1"/>
  <c r="BT112" i="67"/>
  <c r="BS112" i="67"/>
  <c r="BR112" i="67"/>
  <c r="BQ112" i="67"/>
  <c r="BP112" i="67"/>
  <c r="BO112" i="67"/>
  <c r="BN112" i="67"/>
  <c r="BM112" i="67"/>
  <c r="BL112" i="67"/>
  <c r="BK112" i="67"/>
  <c r="BJ112" i="67"/>
  <c r="BI112" i="67"/>
  <c r="BH112" i="67"/>
  <c r="BG112" i="67"/>
  <c r="BF112" i="67"/>
  <c r="BE112" i="67"/>
  <c r="BD112" i="67"/>
  <c r="BC112" i="67"/>
  <c r="BB112" i="67"/>
  <c r="BA112" i="67"/>
  <c r="AZ112" i="67"/>
  <c r="AY112" i="67"/>
  <c r="AX112" i="67"/>
  <c r="AW112" i="67"/>
  <c r="AV112" i="67"/>
  <c r="AU112" i="67"/>
  <c r="AG112" i="67"/>
  <c r="AE112" i="67"/>
  <c r="AC112" i="67"/>
  <c r="AB112" i="67"/>
  <c r="AA112" i="67"/>
  <c r="Z112" i="67"/>
  <c r="Y112" i="67"/>
  <c r="X112" i="67"/>
  <c r="W112" i="67"/>
  <c r="V112" i="67"/>
  <c r="U112" i="67"/>
  <c r="T112" i="67"/>
  <c r="S112" i="67"/>
  <c r="R112" i="67"/>
  <c r="Q112" i="67"/>
  <c r="J112" i="67"/>
  <c r="F112" i="67"/>
  <c r="BT111" i="67"/>
  <c r="BS111" i="67"/>
  <c r="BR111" i="67"/>
  <c r="BQ111" i="67"/>
  <c r="BP111" i="67"/>
  <c r="BO111" i="67"/>
  <c r="BN111" i="67"/>
  <c r="BM111" i="67"/>
  <c r="BL111" i="67"/>
  <c r="BK111" i="67"/>
  <c r="BJ111" i="67"/>
  <c r="BI111" i="67"/>
  <c r="BH111" i="67"/>
  <c r="BG111" i="67"/>
  <c r="BF111" i="67"/>
  <c r="BE111" i="67"/>
  <c r="BD111" i="67"/>
  <c r="BC111" i="67"/>
  <c r="BB111" i="67"/>
  <c r="BA111" i="67"/>
  <c r="AZ111" i="67"/>
  <c r="AY111" i="67"/>
  <c r="AX111" i="67"/>
  <c r="AW111" i="67"/>
  <c r="AV111" i="67"/>
  <c r="AU111" i="67"/>
  <c r="AG111" i="67"/>
  <c r="AE111" i="67"/>
  <c r="AC111" i="67"/>
  <c r="AB111" i="67"/>
  <c r="AA111" i="67"/>
  <c r="Z111" i="67"/>
  <c r="Y111" i="67"/>
  <c r="X111" i="67"/>
  <c r="W111" i="67"/>
  <c r="V111" i="67"/>
  <c r="U111" i="67"/>
  <c r="T111" i="67"/>
  <c r="S111" i="67"/>
  <c r="R111" i="67"/>
  <c r="Q111" i="67"/>
  <c r="J111" i="67"/>
  <c r="F111" i="67"/>
  <c r="BT110" i="67"/>
  <c r="BS110" i="67"/>
  <c r="BR110" i="67"/>
  <c r="BQ110" i="67"/>
  <c r="BP110" i="67"/>
  <c r="BO110" i="67"/>
  <c r="BN110" i="67"/>
  <c r="BM110" i="67"/>
  <c r="BL110" i="67"/>
  <c r="BK110" i="67"/>
  <c r="BJ110" i="67"/>
  <c r="BI110" i="67"/>
  <c r="BH110" i="67"/>
  <c r="BG110" i="67"/>
  <c r="BF110" i="67"/>
  <c r="BE110" i="67"/>
  <c r="BD110" i="67"/>
  <c r="BC110" i="67"/>
  <c r="BB110" i="67"/>
  <c r="BA110" i="67"/>
  <c r="AZ110" i="67"/>
  <c r="AY110" i="67"/>
  <c r="AX110" i="67"/>
  <c r="AW110" i="67"/>
  <c r="AV110" i="67"/>
  <c r="AU110" i="67"/>
  <c r="AG110" i="67"/>
  <c r="AE110" i="67"/>
  <c r="AC110" i="67"/>
  <c r="AB110" i="67"/>
  <c r="AA110" i="67"/>
  <c r="Z110" i="67"/>
  <c r="Y110" i="67"/>
  <c r="X110" i="67"/>
  <c r="W110" i="67"/>
  <c r="V110" i="67"/>
  <c r="U110" i="67"/>
  <c r="T110" i="67"/>
  <c r="S110" i="67"/>
  <c r="R110" i="67"/>
  <c r="Q110" i="67"/>
  <c r="J110" i="67"/>
  <c r="F110" i="67"/>
  <c r="BT109" i="67"/>
  <c r="BS109" i="67"/>
  <c r="BR109" i="67"/>
  <c r="BQ109" i="67"/>
  <c r="BP109" i="67"/>
  <c r="BO109" i="67"/>
  <c r="BN109" i="67"/>
  <c r="BM109" i="67"/>
  <c r="BL109" i="67"/>
  <c r="BK109" i="67"/>
  <c r="BJ109" i="67"/>
  <c r="BI109" i="67"/>
  <c r="BH109" i="67"/>
  <c r="BG109" i="67"/>
  <c r="BF109" i="67"/>
  <c r="BE109" i="67"/>
  <c r="BD109" i="67"/>
  <c r="BC109" i="67"/>
  <c r="BB109" i="67"/>
  <c r="BA109" i="67"/>
  <c r="AZ109" i="67"/>
  <c r="AY109" i="67"/>
  <c r="AX109" i="67"/>
  <c r="AW109" i="67"/>
  <c r="AV109" i="67"/>
  <c r="AU109" i="67"/>
  <c r="AG109" i="67"/>
  <c r="AE109" i="67"/>
  <c r="AC109" i="67"/>
  <c r="AB109" i="67"/>
  <c r="AA109" i="67"/>
  <c r="Z109" i="67"/>
  <c r="Y109" i="67"/>
  <c r="X109" i="67"/>
  <c r="W109" i="67"/>
  <c r="V109" i="67"/>
  <c r="U109" i="67"/>
  <c r="T109" i="67"/>
  <c r="S109" i="67"/>
  <c r="R109" i="67"/>
  <c r="Q109" i="67"/>
  <c r="J109" i="67"/>
  <c r="K109" i="67" s="1"/>
  <c r="AF109" i="67" s="1"/>
  <c r="F109" i="67"/>
  <c r="BT108" i="67"/>
  <c r="BS108" i="67"/>
  <c r="BR108" i="67"/>
  <c r="BQ108" i="67"/>
  <c r="BP108" i="67"/>
  <c r="BO108" i="67"/>
  <c r="BN108" i="67"/>
  <c r="BM108" i="67"/>
  <c r="BL108" i="67"/>
  <c r="BK108" i="67"/>
  <c r="BJ108" i="67"/>
  <c r="BI108" i="67"/>
  <c r="BH108" i="67"/>
  <c r="BG108" i="67"/>
  <c r="BF108" i="67"/>
  <c r="BE108" i="67"/>
  <c r="BD108" i="67"/>
  <c r="BC108" i="67"/>
  <c r="BB108" i="67"/>
  <c r="BA108" i="67"/>
  <c r="AZ108" i="67"/>
  <c r="AY108" i="67"/>
  <c r="AX108" i="67"/>
  <c r="AW108" i="67"/>
  <c r="AV108" i="67"/>
  <c r="AU108" i="67"/>
  <c r="AG108" i="67"/>
  <c r="AE108" i="67"/>
  <c r="AC108" i="67"/>
  <c r="AB108" i="67"/>
  <c r="AA108" i="67"/>
  <c r="Z108" i="67"/>
  <c r="Y108" i="67"/>
  <c r="X108" i="67"/>
  <c r="W108" i="67"/>
  <c r="V108" i="67"/>
  <c r="U108" i="67"/>
  <c r="T108" i="67"/>
  <c r="S108" i="67"/>
  <c r="R108" i="67"/>
  <c r="Q108" i="67"/>
  <c r="J108" i="67"/>
  <c r="F108" i="67"/>
  <c r="BT107" i="67"/>
  <c r="BS107" i="67"/>
  <c r="BR107" i="67"/>
  <c r="BQ107" i="67"/>
  <c r="BP107" i="67"/>
  <c r="BO107" i="67"/>
  <c r="BN107" i="67"/>
  <c r="BM107" i="67"/>
  <c r="BL107" i="67"/>
  <c r="BK107" i="67"/>
  <c r="BJ107" i="67"/>
  <c r="BI107" i="67"/>
  <c r="BH107" i="67"/>
  <c r="BG107" i="67"/>
  <c r="BF107" i="67"/>
  <c r="BE107" i="67"/>
  <c r="BD107" i="67"/>
  <c r="BC107" i="67"/>
  <c r="BB107" i="67"/>
  <c r="BA107" i="67"/>
  <c r="AZ107" i="67"/>
  <c r="AY107" i="67"/>
  <c r="AX107" i="67"/>
  <c r="AW107" i="67"/>
  <c r="AV107" i="67"/>
  <c r="AU107" i="67"/>
  <c r="AG107" i="67"/>
  <c r="AE107" i="67"/>
  <c r="AC107" i="67"/>
  <c r="AB107" i="67"/>
  <c r="AA107" i="67"/>
  <c r="Z107" i="67"/>
  <c r="Y107" i="67"/>
  <c r="X107" i="67"/>
  <c r="W107" i="67"/>
  <c r="V107" i="67"/>
  <c r="U107" i="67"/>
  <c r="T107" i="67"/>
  <c r="S107" i="67"/>
  <c r="R107" i="67"/>
  <c r="Q107" i="67"/>
  <c r="J107" i="67"/>
  <c r="F107" i="67"/>
  <c r="BT106" i="67"/>
  <c r="BS106" i="67"/>
  <c r="BR106" i="67"/>
  <c r="BQ106" i="67"/>
  <c r="BP106" i="67"/>
  <c r="BO106" i="67"/>
  <c r="BN106" i="67"/>
  <c r="BM106" i="67"/>
  <c r="BL106" i="67"/>
  <c r="BK106" i="67"/>
  <c r="BJ106" i="67"/>
  <c r="BI106" i="67"/>
  <c r="BH106" i="67"/>
  <c r="BG106" i="67"/>
  <c r="BF106" i="67"/>
  <c r="BE106" i="67"/>
  <c r="BD106" i="67"/>
  <c r="BC106" i="67"/>
  <c r="BB106" i="67"/>
  <c r="BA106" i="67"/>
  <c r="AZ106" i="67"/>
  <c r="AY106" i="67"/>
  <c r="AX106" i="67"/>
  <c r="AW106" i="67"/>
  <c r="AV106" i="67"/>
  <c r="AU106" i="67"/>
  <c r="AG106" i="67"/>
  <c r="AE106" i="67"/>
  <c r="AC106" i="67"/>
  <c r="AB106" i="67"/>
  <c r="AA106" i="67"/>
  <c r="Z106" i="67"/>
  <c r="Y106" i="67"/>
  <c r="X106" i="67"/>
  <c r="W106" i="67"/>
  <c r="V106" i="67"/>
  <c r="U106" i="67"/>
  <c r="T106" i="67"/>
  <c r="S106" i="67"/>
  <c r="R106" i="67"/>
  <c r="Q106" i="67"/>
  <c r="J106" i="67"/>
  <c r="F106" i="67"/>
  <c r="BT105" i="67"/>
  <c r="BS105" i="67"/>
  <c r="BR105" i="67"/>
  <c r="BQ105" i="67"/>
  <c r="BP105" i="67"/>
  <c r="BO105" i="67"/>
  <c r="BN105" i="67"/>
  <c r="BM105" i="67"/>
  <c r="BL105" i="67"/>
  <c r="BK105" i="67"/>
  <c r="BJ105" i="67"/>
  <c r="BI105" i="67"/>
  <c r="BH105" i="67"/>
  <c r="BG105" i="67"/>
  <c r="BF105" i="67"/>
  <c r="BE105" i="67"/>
  <c r="BD105" i="67"/>
  <c r="BC105" i="67"/>
  <c r="BB105" i="67"/>
  <c r="BA105" i="67"/>
  <c r="AZ105" i="67"/>
  <c r="AY105" i="67"/>
  <c r="AX105" i="67"/>
  <c r="AW105" i="67"/>
  <c r="AV105" i="67"/>
  <c r="AU105" i="67"/>
  <c r="AG105" i="67"/>
  <c r="AE105" i="67"/>
  <c r="AC105" i="67"/>
  <c r="AB105" i="67"/>
  <c r="AA105" i="67"/>
  <c r="Z105" i="67"/>
  <c r="Y105" i="67"/>
  <c r="X105" i="67"/>
  <c r="W105" i="67"/>
  <c r="V105" i="67"/>
  <c r="U105" i="67"/>
  <c r="T105" i="67"/>
  <c r="S105" i="67"/>
  <c r="R105" i="67"/>
  <c r="Q105" i="67"/>
  <c r="J105" i="67"/>
  <c r="F105" i="67"/>
  <c r="BT104" i="67"/>
  <c r="BS104" i="67"/>
  <c r="BR104" i="67"/>
  <c r="BQ104" i="67"/>
  <c r="BP104" i="67"/>
  <c r="BO104" i="67"/>
  <c r="BN104" i="67"/>
  <c r="BM104" i="67"/>
  <c r="BL104" i="67"/>
  <c r="BK104" i="67"/>
  <c r="BJ104" i="67"/>
  <c r="BI104" i="67"/>
  <c r="BH104" i="67"/>
  <c r="BG104" i="67"/>
  <c r="BF104" i="67"/>
  <c r="BE104" i="67"/>
  <c r="BD104" i="67"/>
  <c r="BC104" i="67"/>
  <c r="BB104" i="67"/>
  <c r="BA104" i="67"/>
  <c r="AZ104" i="67"/>
  <c r="AY104" i="67"/>
  <c r="AX104" i="67"/>
  <c r="AW104" i="67"/>
  <c r="AV104" i="67"/>
  <c r="AU104" i="67"/>
  <c r="AG104" i="67"/>
  <c r="AE104" i="67"/>
  <c r="AC104" i="67"/>
  <c r="AB104" i="67"/>
  <c r="AA104" i="67"/>
  <c r="Z104" i="67"/>
  <c r="Y104" i="67"/>
  <c r="X104" i="67"/>
  <c r="W104" i="67"/>
  <c r="V104" i="67"/>
  <c r="U104" i="67"/>
  <c r="T104" i="67"/>
  <c r="S104" i="67"/>
  <c r="R104" i="67"/>
  <c r="Q104" i="67"/>
  <c r="J104" i="67"/>
  <c r="F104" i="67"/>
  <c r="BT103" i="67"/>
  <c r="BS103" i="67"/>
  <c r="BR103" i="67"/>
  <c r="BQ103" i="67"/>
  <c r="BP103" i="67"/>
  <c r="BO103" i="67"/>
  <c r="BN103" i="67"/>
  <c r="BM103" i="67"/>
  <c r="BL103" i="67"/>
  <c r="BK103" i="67"/>
  <c r="BJ103" i="67"/>
  <c r="BI103" i="67"/>
  <c r="BH103" i="67"/>
  <c r="BG103" i="67"/>
  <c r="BF103" i="67"/>
  <c r="BE103" i="67"/>
  <c r="BD103" i="67"/>
  <c r="BC103" i="67"/>
  <c r="BB103" i="67"/>
  <c r="BA103" i="67"/>
  <c r="AZ103" i="67"/>
  <c r="AY103" i="67"/>
  <c r="AX103" i="67"/>
  <c r="AW103" i="67"/>
  <c r="AV103" i="67"/>
  <c r="AU103" i="67"/>
  <c r="AG103" i="67"/>
  <c r="AE103" i="67"/>
  <c r="AC103" i="67"/>
  <c r="AB103" i="67"/>
  <c r="AA103" i="67"/>
  <c r="Z103" i="67"/>
  <c r="Y103" i="67"/>
  <c r="X103" i="67"/>
  <c r="W103" i="67"/>
  <c r="U103" i="67"/>
  <c r="T103" i="67"/>
  <c r="S103" i="67"/>
  <c r="R103" i="67"/>
  <c r="Q103" i="67"/>
  <c r="J103" i="67"/>
  <c r="F103" i="67"/>
  <c r="BT102" i="67"/>
  <c r="BS102" i="67"/>
  <c r="BR102" i="67"/>
  <c r="BQ102" i="67"/>
  <c r="BP102" i="67"/>
  <c r="BO102" i="67"/>
  <c r="BN102" i="67"/>
  <c r="BM102" i="67"/>
  <c r="BL102" i="67"/>
  <c r="BK102" i="67"/>
  <c r="BJ102" i="67"/>
  <c r="BI102" i="67"/>
  <c r="BH102" i="67"/>
  <c r="BG102" i="67"/>
  <c r="BF102" i="67"/>
  <c r="BE102" i="67"/>
  <c r="BD102" i="67"/>
  <c r="BC102" i="67"/>
  <c r="BB102" i="67"/>
  <c r="BA102" i="67"/>
  <c r="AZ102" i="67"/>
  <c r="AY102" i="67"/>
  <c r="AX102" i="67"/>
  <c r="AW102" i="67"/>
  <c r="AV102" i="67"/>
  <c r="AU102" i="67"/>
  <c r="AG102" i="67"/>
  <c r="AE102" i="67"/>
  <c r="AC102" i="67"/>
  <c r="AB102" i="67"/>
  <c r="AA102" i="67"/>
  <c r="Z102" i="67"/>
  <c r="X102" i="67"/>
  <c r="W102" i="67"/>
  <c r="V102" i="67"/>
  <c r="U102" i="67"/>
  <c r="T102" i="67"/>
  <c r="S102" i="67"/>
  <c r="R102" i="67"/>
  <c r="Q102" i="67"/>
  <c r="J102" i="67"/>
  <c r="F102" i="67"/>
  <c r="BT101" i="67"/>
  <c r="BS101" i="67"/>
  <c r="BR101" i="67"/>
  <c r="BQ101" i="67"/>
  <c r="BP101" i="67"/>
  <c r="BO101" i="67"/>
  <c r="BN101" i="67"/>
  <c r="BM101" i="67"/>
  <c r="BL101" i="67"/>
  <c r="BK101" i="67"/>
  <c r="BJ101" i="67"/>
  <c r="BI101" i="67"/>
  <c r="BH101" i="67"/>
  <c r="BG101" i="67"/>
  <c r="BF101" i="67"/>
  <c r="BE101" i="67"/>
  <c r="BD101" i="67"/>
  <c r="BC101" i="67"/>
  <c r="BB101" i="67"/>
  <c r="BA101" i="67"/>
  <c r="AZ101" i="67"/>
  <c r="AY101" i="67"/>
  <c r="AX101" i="67"/>
  <c r="AW101" i="67"/>
  <c r="AV101" i="67"/>
  <c r="AU101" i="67"/>
  <c r="AG101" i="67"/>
  <c r="AE101" i="67"/>
  <c r="AC101" i="67"/>
  <c r="AB101" i="67"/>
  <c r="AA101" i="67"/>
  <c r="Z101" i="67"/>
  <c r="Y101" i="67"/>
  <c r="X101" i="67"/>
  <c r="W101" i="67"/>
  <c r="V101" i="67"/>
  <c r="U101" i="67"/>
  <c r="T101" i="67"/>
  <c r="S101" i="67"/>
  <c r="R101" i="67"/>
  <c r="Q101" i="67"/>
  <c r="J101" i="67"/>
  <c r="F101" i="67"/>
  <c r="BT100" i="67"/>
  <c r="BS100" i="67"/>
  <c r="BR100" i="67"/>
  <c r="BQ100" i="67"/>
  <c r="BP100" i="67"/>
  <c r="BO100" i="67"/>
  <c r="BN100" i="67"/>
  <c r="BM100" i="67"/>
  <c r="BL100" i="67"/>
  <c r="BK100" i="67"/>
  <c r="BJ100" i="67"/>
  <c r="BI100" i="67"/>
  <c r="BH100" i="67"/>
  <c r="BG100" i="67"/>
  <c r="BF100" i="67"/>
  <c r="BE100" i="67"/>
  <c r="BD100" i="67"/>
  <c r="BC100" i="67"/>
  <c r="BB100" i="67"/>
  <c r="BA100" i="67"/>
  <c r="AZ100" i="67"/>
  <c r="AY100" i="67"/>
  <c r="AX100" i="67"/>
  <c r="AW100" i="67"/>
  <c r="AV100" i="67"/>
  <c r="AU100" i="67"/>
  <c r="AG100" i="67"/>
  <c r="AE100" i="67"/>
  <c r="AC100" i="67"/>
  <c r="AB100" i="67"/>
  <c r="AA100" i="67"/>
  <c r="Z100" i="67"/>
  <c r="Y100" i="67"/>
  <c r="X100" i="67"/>
  <c r="W100" i="67"/>
  <c r="V100" i="67"/>
  <c r="U100" i="67"/>
  <c r="T100" i="67"/>
  <c r="R100" i="67"/>
  <c r="Q100" i="67"/>
  <c r="J100" i="67"/>
  <c r="F100" i="67"/>
  <c r="BT99" i="67"/>
  <c r="BS99" i="67"/>
  <c r="BR99" i="67"/>
  <c r="BQ99" i="67"/>
  <c r="BP99" i="67"/>
  <c r="BO99" i="67"/>
  <c r="BN99" i="67"/>
  <c r="BM99" i="67"/>
  <c r="BL99" i="67"/>
  <c r="BK99" i="67"/>
  <c r="BJ99" i="67"/>
  <c r="BI99" i="67"/>
  <c r="BH99" i="67"/>
  <c r="BG99" i="67"/>
  <c r="BF99" i="67"/>
  <c r="BE99" i="67"/>
  <c r="BD99" i="67"/>
  <c r="BC99" i="67"/>
  <c r="BB99" i="67"/>
  <c r="BA99" i="67"/>
  <c r="AZ99" i="67"/>
  <c r="AY99" i="67"/>
  <c r="AX99" i="67"/>
  <c r="AW99" i="67"/>
  <c r="AV99" i="67"/>
  <c r="AU99" i="67"/>
  <c r="AG99" i="67"/>
  <c r="AE99" i="67"/>
  <c r="AC99" i="67"/>
  <c r="AB99" i="67"/>
  <c r="AA99" i="67"/>
  <c r="Z99" i="67"/>
  <c r="Y99" i="67"/>
  <c r="X99" i="67"/>
  <c r="W99" i="67"/>
  <c r="V99" i="67"/>
  <c r="U99" i="67"/>
  <c r="T99" i="67"/>
  <c r="R99" i="67"/>
  <c r="Q99" i="67"/>
  <c r="J99" i="67"/>
  <c r="F99" i="67"/>
  <c r="BT98" i="67"/>
  <c r="BS98" i="67"/>
  <c r="BR98" i="67"/>
  <c r="BQ98" i="67"/>
  <c r="BP98" i="67"/>
  <c r="BO98" i="67"/>
  <c r="BN98" i="67"/>
  <c r="BM98" i="67"/>
  <c r="BL98" i="67"/>
  <c r="BK98" i="67"/>
  <c r="BJ98" i="67"/>
  <c r="BI98" i="67"/>
  <c r="BH98" i="67"/>
  <c r="BG98" i="67"/>
  <c r="BF98" i="67"/>
  <c r="BE98" i="67"/>
  <c r="BD98" i="67"/>
  <c r="BC98" i="67"/>
  <c r="BB98" i="67"/>
  <c r="BA98" i="67"/>
  <c r="AZ98" i="67"/>
  <c r="AY98" i="67"/>
  <c r="AX98" i="67"/>
  <c r="AW98" i="67"/>
  <c r="AV98" i="67"/>
  <c r="AU98" i="67"/>
  <c r="AG98" i="67"/>
  <c r="AE98" i="67"/>
  <c r="AC98" i="67"/>
  <c r="AB98" i="67"/>
  <c r="AA98" i="67"/>
  <c r="Z98" i="67"/>
  <c r="Y98" i="67"/>
  <c r="X98" i="67"/>
  <c r="W98" i="67"/>
  <c r="V98" i="67"/>
  <c r="U98" i="67"/>
  <c r="T98" i="67"/>
  <c r="S98" i="67"/>
  <c r="R98" i="67"/>
  <c r="Q98" i="67"/>
  <c r="J98" i="67"/>
  <c r="F98" i="67"/>
  <c r="BT97" i="67"/>
  <c r="BS97" i="67"/>
  <c r="BR97" i="67"/>
  <c r="BQ97" i="67"/>
  <c r="BP97" i="67"/>
  <c r="BO97" i="67"/>
  <c r="BN97" i="67"/>
  <c r="BM97" i="67"/>
  <c r="BL97" i="67"/>
  <c r="BK97" i="67"/>
  <c r="BJ97" i="67"/>
  <c r="BI97" i="67"/>
  <c r="BH97" i="67"/>
  <c r="BG97" i="67"/>
  <c r="BF97" i="67"/>
  <c r="BE97" i="67"/>
  <c r="BD97" i="67"/>
  <c r="BC97" i="67"/>
  <c r="BB97" i="67"/>
  <c r="BA97" i="67"/>
  <c r="AZ97" i="67"/>
  <c r="AY97" i="67"/>
  <c r="AX97" i="67"/>
  <c r="AW97" i="67"/>
  <c r="AV97" i="67"/>
  <c r="AU97" i="67"/>
  <c r="AG97" i="67"/>
  <c r="AE97" i="67"/>
  <c r="AC97" i="67"/>
  <c r="AB97" i="67"/>
  <c r="AA97" i="67"/>
  <c r="Z97" i="67"/>
  <c r="Y97" i="67"/>
  <c r="X97" i="67"/>
  <c r="W97" i="67"/>
  <c r="V97" i="67"/>
  <c r="U97" i="67"/>
  <c r="T97" i="67"/>
  <c r="S97" i="67"/>
  <c r="Q97" i="67"/>
  <c r="J97" i="67"/>
  <c r="F97" i="67"/>
  <c r="BT96" i="67"/>
  <c r="BS96" i="67"/>
  <c r="BR96" i="67"/>
  <c r="BQ96" i="67"/>
  <c r="BP96" i="67"/>
  <c r="BO96" i="67"/>
  <c r="BN96" i="67"/>
  <c r="BM96" i="67"/>
  <c r="BL96" i="67"/>
  <c r="BK96" i="67"/>
  <c r="BJ96" i="67"/>
  <c r="BI96" i="67"/>
  <c r="BH96" i="67"/>
  <c r="BG96" i="67"/>
  <c r="BF96" i="67"/>
  <c r="BE96" i="67"/>
  <c r="BD96" i="67"/>
  <c r="BC96" i="67"/>
  <c r="BB96" i="67"/>
  <c r="BA96" i="67"/>
  <c r="AZ96" i="67"/>
  <c r="AY96" i="67"/>
  <c r="AX96" i="67"/>
  <c r="AW96" i="67"/>
  <c r="AV96" i="67"/>
  <c r="AU96" i="67"/>
  <c r="AG96" i="67"/>
  <c r="AE96" i="67"/>
  <c r="AC96" i="67"/>
  <c r="AB96" i="67"/>
  <c r="AA96" i="67"/>
  <c r="Z96" i="67"/>
  <c r="Y96" i="67"/>
  <c r="X96" i="67"/>
  <c r="W96" i="67"/>
  <c r="V96" i="67"/>
  <c r="U96" i="67"/>
  <c r="T96" i="67"/>
  <c r="S96" i="67"/>
  <c r="Q96" i="67"/>
  <c r="J96" i="67"/>
  <c r="F96" i="67"/>
  <c r="BT95" i="67"/>
  <c r="BS95" i="67"/>
  <c r="BR95" i="67"/>
  <c r="BQ95" i="67"/>
  <c r="BP95" i="67"/>
  <c r="BO95" i="67"/>
  <c r="BN95" i="67"/>
  <c r="BM95" i="67"/>
  <c r="BL95" i="67"/>
  <c r="BK95" i="67"/>
  <c r="BJ95" i="67"/>
  <c r="BI95" i="67"/>
  <c r="BH95" i="67"/>
  <c r="BG95" i="67"/>
  <c r="BF95" i="67"/>
  <c r="BE95" i="67"/>
  <c r="BD95" i="67"/>
  <c r="BC95" i="67"/>
  <c r="BB95" i="67"/>
  <c r="BA95" i="67"/>
  <c r="AZ95" i="67"/>
  <c r="AY95" i="67"/>
  <c r="AX95" i="67"/>
  <c r="AW95" i="67"/>
  <c r="AV95" i="67"/>
  <c r="AU95" i="67"/>
  <c r="AG95" i="67"/>
  <c r="AE95" i="67"/>
  <c r="AC95" i="67"/>
  <c r="AB95" i="67"/>
  <c r="AA95" i="67"/>
  <c r="Z95" i="67"/>
  <c r="Y95" i="67"/>
  <c r="X95" i="67"/>
  <c r="W95" i="67"/>
  <c r="V95" i="67"/>
  <c r="U95" i="67"/>
  <c r="T95" i="67"/>
  <c r="S95" i="67"/>
  <c r="R95" i="67"/>
  <c r="Q95" i="67"/>
  <c r="J95" i="67"/>
  <c r="F95" i="67"/>
  <c r="BT94" i="67"/>
  <c r="BS94" i="67"/>
  <c r="BR94" i="67"/>
  <c r="BQ94" i="67"/>
  <c r="BP94" i="67"/>
  <c r="BO94" i="67"/>
  <c r="BN94" i="67"/>
  <c r="BM94" i="67"/>
  <c r="BL94" i="67"/>
  <c r="BK94" i="67"/>
  <c r="BJ94" i="67"/>
  <c r="BI94" i="67"/>
  <c r="BH94" i="67"/>
  <c r="BG94" i="67"/>
  <c r="BF94" i="67"/>
  <c r="BE94" i="67"/>
  <c r="BD94" i="67"/>
  <c r="BC94" i="67"/>
  <c r="BB94" i="67"/>
  <c r="BA94" i="67"/>
  <c r="AZ94" i="67"/>
  <c r="AY94" i="67"/>
  <c r="AX94" i="67"/>
  <c r="AW94" i="67"/>
  <c r="AV94" i="67"/>
  <c r="AU94" i="67"/>
  <c r="AG94" i="67"/>
  <c r="AE94" i="67"/>
  <c r="AC94" i="67"/>
  <c r="AB94" i="67"/>
  <c r="AA94" i="67"/>
  <c r="Y94" i="67"/>
  <c r="X94" i="67"/>
  <c r="W94" i="67"/>
  <c r="V94" i="67"/>
  <c r="U94" i="67"/>
  <c r="T94" i="67"/>
  <c r="S94" i="67"/>
  <c r="R94" i="67"/>
  <c r="Q94" i="67"/>
  <c r="J94" i="67"/>
  <c r="F94" i="67"/>
  <c r="BT93" i="67"/>
  <c r="BS93" i="67"/>
  <c r="BR93" i="67"/>
  <c r="BQ93" i="67"/>
  <c r="BP93" i="67"/>
  <c r="BO93" i="67"/>
  <c r="BN93" i="67"/>
  <c r="BM93" i="67"/>
  <c r="BL93" i="67"/>
  <c r="BK93" i="67"/>
  <c r="BJ93" i="67"/>
  <c r="BI93" i="67"/>
  <c r="BH93" i="67"/>
  <c r="BG93" i="67"/>
  <c r="BF93" i="67"/>
  <c r="BE93" i="67"/>
  <c r="BD93" i="67"/>
  <c r="BC93" i="67"/>
  <c r="BB93" i="67"/>
  <c r="BA93" i="67"/>
  <c r="AZ93" i="67"/>
  <c r="AY93" i="67"/>
  <c r="AX93" i="67"/>
  <c r="AW93" i="67"/>
  <c r="AV93" i="67"/>
  <c r="AU93" i="67"/>
  <c r="AG93" i="67"/>
  <c r="AE93" i="67"/>
  <c r="AC93" i="67"/>
  <c r="AB93" i="67"/>
  <c r="AA93" i="67"/>
  <c r="Y93" i="67"/>
  <c r="X93" i="67"/>
  <c r="W93" i="67"/>
  <c r="V93" i="67"/>
  <c r="U93" i="67"/>
  <c r="T93" i="67"/>
  <c r="S93" i="67"/>
  <c r="R93" i="67"/>
  <c r="Q93" i="67"/>
  <c r="J93" i="67"/>
  <c r="F93" i="67"/>
  <c r="BT92" i="67"/>
  <c r="BS92" i="67"/>
  <c r="BR92" i="67"/>
  <c r="BQ92" i="67"/>
  <c r="BP92" i="67"/>
  <c r="BO92" i="67"/>
  <c r="BN92" i="67"/>
  <c r="BM92" i="67"/>
  <c r="BL92" i="67"/>
  <c r="BK92" i="67"/>
  <c r="BJ92" i="67"/>
  <c r="BI92" i="67"/>
  <c r="BH92" i="67"/>
  <c r="BG92" i="67"/>
  <c r="BF92" i="67"/>
  <c r="BE92" i="67"/>
  <c r="BD92" i="67"/>
  <c r="BC92" i="67"/>
  <c r="BB92" i="67"/>
  <c r="BA92" i="67"/>
  <c r="AZ92" i="67"/>
  <c r="AY92" i="67"/>
  <c r="AX92" i="67"/>
  <c r="AW92" i="67"/>
  <c r="AV92" i="67"/>
  <c r="AU92" i="67"/>
  <c r="AG92" i="67"/>
  <c r="AE92" i="67"/>
  <c r="AC92" i="67"/>
  <c r="AB92" i="67"/>
  <c r="AA92" i="67"/>
  <c r="Z92" i="67"/>
  <c r="Y92" i="67"/>
  <c r="X92" i="67"/>
  <c r="W92" i="67"/>
  <c r="V92" i="67"/>
  <c r="U92" i="67"/>
  <c r="T92" i="67"/>
  <c r="S92" i="67"/>
  <c r="R92" i="67"/>
  <c r="Q92" i="67"/>
  <c r="J92" i="67"/>
  <c r="F92" i="67"/>
  <c r="BT91" i="67"/>
  <c r="BS91" i="67"/>
  <c r="BR91" i="67"/>
  <c r="BQ91" i="67"/>
  <c r="BP91" i="67"/>
  <c r="BO91" i="67"/>
  <c r="BN91" i="67"/>
  <c r="BM91" i="67"/>
  <c r="BL91" i="67"/>
  <c r="BK91" i="67"/>
  <c r="BJ91" i="67"/>
  <c r="BI91" i="67"/>
  <c r="BH91" i="67"/>
  <c r="BG91" i="67"/>
  <c r="BF91" i="67"/>
  <c r="BE91" i="67"/>
  <c r="BD91" i="67"/>
  <c r="BC91" i="67"/>
  <c r="BB91" i="67"/>
  <c r="BA91" i="67"/>
  <c r="AZ91" i="67"/>
  <c r="AY91" i="67"/>
  <c r="AX91" i="67"/>
  <c r="AW91" i="67"/>
  <c r="AV91" i="67"/>
  <c r="AU91" i="67"/>
  <c r="AG91" i="67"/>
  <c r="AE91" i="67"/>
  <c r="AC91" i="67"/>
  <c r="AB91" i="67"/>
  <c r="AA91" i="67"/>
  <c r="Z91" i="67"/>
  <c r="Y91" i="67"/>
  <c r="X91" i="67"/>
  <c r="W91" i="67"/>
  <c r="V91" i="67"/>
  <c r="U91" i="67"/>
  <c r="T91" i="67"/>
  <c r="R91" i="67"/>
  <c r="Q91" i="67"/>
  <c r="J91" i="67"/>
  <c r="F91" i="67"/>
  <c r="BT90" i="67"/>
  <c r="BS90" i="67"/>
  <c r="BR90" i="67"/>
  <c r="BQ90" i="67"/>
  <c r="BP90" i="67"/>
  <c r="BO90" i="67"/>
  <c r="BN90" i="67"/>
  <c r="BM90" i="67"/>
  <c r="BL90" i="67"/>
  <c r="BK90" i="67"/>
  <c r="BJ90" i="67"/>
  <c r="BI90" i="67"/>
  <c r="BH90" i="67"/>
  <c r="BG90" i="67"/>
  <c r="BF90" i="67"/>
  <c r="BE90" i="67"/>
  <c r="BD90" i="67"/>
  <c r="BC90" i="67"/>
  <c r="BB90" i="67"/>
  <c r="BA90" i="67"/>
  <c r="AZ90" i="67"/>
  <c r="AY90" i="67"/>
  <c r="AX90" i="67"/>
  <c r="AW90" i="67"/>
  <c r="AV90" i="67"/>
  <c r="AU90" i="67"/>
  <c r="AG90" i="67"/>
  <c r="AE90" i="67"/>
  <c r="AC90" i="67"/>
  <c r="AB90" i="67"/>
  <c r="AA90" i="67"/>
  <c r="Z90" i="67"/>
  <c r="Y90" i="67"/>
  <c r="X90" i="67"/>
  <c r="W90" i="67"/>
  <c r="V90" i="67"/>
  <c r="U90" i="67"/>
  <c r="T90" i="67"/>
  <c r="S90" i="67"/>
  <c r="R90" i="67"/>
  <c r="Q90" i="67"/>
  <c r="J90" i="67"/>
  <c r="F90" i="67"/>
  <c r="BT89" i="67"/>
  <c r="BS89" i="67"/>
  <c r="BR89" i="67"/>
  <c r="BQ89" i="67"/>
  <c r="BP89" i="67"/>
  <c r="BO89" i="67"/>
  <c r="BN89" i="67"/>
  <c r="BM89" i="67"/>
  <c r="BL89" i="67"/>
  <c r="BK89" i="67"/>
  <c r="BJ89" i="67"/>
  <c r="BI89" i="67"/>
  <c r="BH89" i="67"/>
  <c r="BG89" i="67"/>
  <c r="BF89" i="67"/>
  <c r="BE89" i="67"/>
  <c r="BD89" i="67"/>
  <c r="BC89" i="67"/>
  <c r="BB89" i="67"/>
  <c r="BA89" i="67"/>
  <c r="AZ89" i="67"/>
  <c r="AY89" i="67"/>
  <c r="AX89" i="67"/>
  <c r="AW89" i="67"/>
  <c r="AV89" i="67"/>
  <c r="AU89" i="67"/>
  <c r="AG89" i="67"/>
  <c r="AE89" i="67"/>
  <c r="AC89" i="67"/>
  <c r="AB89" i="67"/>
  <c r="AA89" i="67"/>
  <c r="Y89" i="67"/>
  <c r="X89" i="67"/>
  <c r="W89" i="67"/>
  <c r="V89" i="67"/>
  <c r="U89" i="67"/>
  <c r="T89" i="67"/>
  <c r="S89" i="67"/>
  <c r="R89" i="67"/>
  <c r="Q89" i="67"/>
  <c r="J89" i="67"/>
  <c r="F89" i="67"/>
  <c r="BT88" i="67"/>
  <c r="BS88" i="67"/>
  <c r="BR88" i="67"/>
  <c r="BQ88" i="67"/>
  <c r="BP88" i="67"/>
  <c r="BO88" i="67"/>
  <c r="BN88" i="67"/>
  <c r="BM88" i="67"/>
  <c r="BL88" i="67"/>
  <c r="BK88" i="67"/>
  <c r="BJ88" i="67"/>
  <c r="BI88" i="67"/>
  <c r="BH88" i="67"/>
  <c r="BG88" i="67"/>
  <c r="BF88" i="67"/>
  <c r="BE88" i="67"/>
  <c r="BD88" i="67"/>
  <c r="BC88" i="67"/>
  <c r="BB88" i="67"/>
  <c r="BA88" i="67"/>
  <c r="AZ88" i="67"/>
  <c r="AY88" i="67"/>
  <c r="AX88" i="67"/>
  <c r="AW88" i="67"/>
  <c r="AV88" i="67"/>
  <c r="AU88" i="67"/>
  <c r="AG88" i="67"/>
  <c r="AE88" i="67"/>
  <c r="AC88" i="67"/>
  <c r="AB88" i="67"/>
  <c r="AA88" i="67"/>
  <c r="Y88" i="67"/>
  <c r="X88" i="67"/>
  <c r="W88" i="67"/>
  <c r="V88" i="67"/>
  <c r="U88" i="67"/>
  <c r="T88" i="67"/>
  <c r="S88" i="67"/>
  <c r="R88" i="67"/>
  <c r="Q88" i="67"/>
  <c r="J88" i="67"/>
  <c r="F88" i="67"/>
  <c r="BT87" i="67"/>
  <c r="BS87" i="67"/>
  <c r="BR87" i="67"/>
  <c r="BQ87" i="67"/>
  <c r="BP87" i="67"/>
  <c r="BO87" i="67"/>
  <c r="BN87" i="67"/>
  <c r="BM87" i="67"/>
  <c r="BL87" i="67"/>
  <c r="BK87" i="67"/>
  <c r="BJ87" i="67"/>
  <c r="BI87" i="67"/>
  <c r="BH87" i="67"/>
  <c r="BG87" i="67"/>
  <c r="BF87" i="67"/>
  <c r="BE87" i="67"/>
  <c r="BD87" i="67"/>
  <c r="BC87" i="67"/>
  <c r="BB87" i="67"/>
  <c r="BA87" i="67"/>
  <c r="AZ87" i="67"/>
  <c r="AY87" i="67"/>
  <c r="AX87" i="67"/>
  <c r="AW87" i="67"/>
  <c r="AV87" i="67"/>
  <c r="AU87" i="67"/>
  <c r="AG87" i="67"/>
  <c r="AE87" i="67"/>
  <c r="AC87" i="67"/>
  <c r="AB87" i="67"/>
  <c r="AA87" i="67"/>
  <c r="Z87" i="67"/>
  <c r="Y87" i="67"/>
  <c r="X87" i="67"/>
  <c r="W87" i="67"/>
  <c r="V87" i="67"/>
  <c r="U87" i="67"/>
  <c r="T87" i="67"/>
  <c r="S87" i="67"/>
  <c r="R87" i="67"/>
  <c r="Q87" i="67"/>
  <c r="J87" i="67"/>
  <c r="F87" i="67"/>
  <c r="BT86" i="67"/>
  <c r="BS86" i="67"/>
  <c r="BR86" i="67"/>
  <c r="BQ86" i="67"/>
  <c r="BP86" i="67"/>
  <c r="BO86" i="67"/>
  <c r="BN86" i="67"/>
  <c r="BM86" i="67"/>
  <c r="BL86" i="67"/>
  <c r="BK86" i="67"/>
  <c r="BJ86" i="67"/>
  <c r="BI86" i="67"/>
  <c r="BH86" i="67"/>
  <c r="BG86" i="67"/>
  <c r="BF86" i="67"/>
  <c r="BE86" i="67"/>
  <c r="BD86" i="67"/>
  <c r="BC86" i="67"/>
  <c r="BB86" i="67"/>
  <c r="BA86" i="67"/>
  <c r="AZ86" i="67"/>
  <c r="AY86" i="67"/>
  <c r="AX86" i="67"/>
  <c r="AW86" i="67"/>
  <c r="AV86" i="67"/>
  <c r="AU86" i="67"/>
  <c r="AG86" i="67"/>
  <c r="AE86" i="67"/>
  <c r="AB86" i="67"/>
  <c r="AA86" i="67"/>
  <c r="Z86" i="67"/>
  <c r="Y86" i="67"/>
  <c r="X86" i="67"/>
  <c r="W86" i="67"/>
  <c r="V86" i="67"/>
  <c r="U86" i="67"/>
  <c r="T86" i="67"/>
  <c r="R86" i="67"/>
  <c r="Q86" i="67"/>
  <c r="J86" i="67"/>
  <c r="F86" i="67"/>
  <c r="BT85" i="67"/>
  <c r="BS85" i="67"/>
  <c r="BR85" i="67"/>
  <c r="BQ85" i="67"/>
  <c r="BP85" i="67"/>
  <c r="BO85" i="67"/>
  <c r="BN85" i="67"/>
  <c r="BM85" i="67"/>
  <c r="BL85" i="67"/>
  <c r="BK85" i="67"/>
  <c r="BJ85" i="67"/>
  <c r="BI85" i="67"/>
  <c r="BH85" i="67"/>
  <c r="BG85" i="67"/>
  <c r="BF85" i="67"/>
  <c r="BE85" i="67"/>
  <c r="BD85" i="67"/>
  <c r="BC85" i="67"/>
  <c r="BB85" i="67"/>
  <c r="BA85" i="67"/>
  <c r="AZ85" i="67"/>
  <c r="AY85" i="67"/>
  <c r="AX85" i="67"/>
  <c r="AW85" i="67"/>
  <c r="AV85" i="67"/>
  <c r="AU85" i="67"/>
  <c r="AG85" i="67"/>
  <c r="AE85" i="67"/>
  <c r="AB85" i="67"/>
  <c r="AA85" i="67"/>
  <c r="Z85" i="67"/>
  <c r="Y85" i="67"/>
  <c r="X85" i="67"/>
  <c r="W85" i="67"/>
  <c r="V85" i="67"/>
  <c r="U85" i="67"/>
  <c r="T85" i="67"/>
  <c r="R85" i="67"/>
  <c r="Q85" i="67"/>
  <c r="J85" i="67"/>
  <c r="F85" i="67"/>
  <c r="BT84" i="67"/>
  <c r="BS84" i="67"/>
  <c r="BR84" i="67"/>
  <c r="BQ84" i="67"/>
  <c r="BP84" i="67"/>
  <c r="BO84" i="67"/>
  <c r="BN84" i="67"/>
  <c r="BM84" i="67"/>
  <c r="BL84" i="67"/>
  <c r="BK84" i="67"/>
  <c r="BJ84" i="67"/>
  <c r="BI84" i="67"/>
  <c r="BH84" i="67"/>
  <c r="BG84" i="67"/>
  <c r="BF84" i="67"/>
  <c r="BE84" i="67"/>
  <c r="BD84" i="67"/>
  <c r="BC84" i="67"/>
  <c r="BB84" i="67"/>
  <c r="BA84" i="67"/>
  <c r="AZ84" i="67"/>
  <c r="AY84" i="67"/>
  <c r="AX84" i="67"/>
  <c r="AW84" i="67"/>
  <c r="AV84" i="67"/>
  <c r="AU84" i="67"/>
  <c r="AG84" i="67"/>
  <c r="AE84" i="67"/>
  <c r="AB84" i="67"/>
  <c r="AA84" i="67"/>
  <c r="Z84" i="67"/>
  <c r="Y84" i="67"/>
  <c r="X84" i="67"/>
  <c r="W84" i="67"/>
  <c r="V84" i="67"/>
  <c r="U84" i="67"/>
  <c r="T84" i="67"/>
  <c r="R84" i="67"/>
  <c r="Q84" i="67"/>
  <c r="J84" i="67"/>
  <c r="F84" i="67"/>
  <c r="BT83" i="67"/>
  <c r="BS83" i="67"/>
  <c r="BR83" i="67"/>
  <c r="BQ83" i="67"/>
  <c r="BP83" i="67"/>
  <c r="BO83" i="67"/>
  <c r="BN83" i="67"/>
  <c r="BM83" i="67"/>
  <c r="BL83" i="67"/>
  <c r="BK83" i="67"/>
  <c r="BJ83" i="67"/>
  <c r="BI83" i="67"/>
  <c r="BH83" i="67"/>
  <c r="BG83" i="67"/>
  <c r="BF83" i="67"/>
  <c r="BE83" i="67"/>
  <c r="BD83" i="67"/>
  <c r="BC83" i="67"/>
  <c r="BB83" i="67"/>
  <c r="BA83" i="67"/>
  <c r="AZ83" i="67"/>
  <c r="AY83" i="67"/>
  <c r="AX83" i="67"/>
  <c r="AW83" i="67"/>
  <c r="AV83" i="67"/>
  <c r="AU83" i="67"/>
  <c r="AG83" i="67"/>
  <c r="AE83" i="67"/>
  <c r="AB83" i="67"/>
  <c r="AA83" i="67"/>
  <c r="Z83" i="67"/>
  <c r="Y83" i="67"/>
  <c r="X83" i="67"/>
  <c r="W83" i="67"/>
  <c r="V83" i="67"/>
  <c r="U83" i="67"/>
  <c r="T83" i="67"/>
  <c r="S83" i="67"/>
  <c r="R83" i="67"/>
  <c r="Q83" i="67"/>
  <c r="J83" i="67"/>
  <c r="F83" i="67"/>
  <c r="BT82" i="67"/>
  <c r="BS82" i="67"/>
  <c r="BR82" i="67"/>
  <c r="BQ82" i="67"/>
  <c r="BP82" i="67"/>
  <c r="BO82" i="67"/>
  <c r="BN82" i="67"/>
  <c r="BM82" i="67"/>
  <c r="BL82" i="67"/>
  <c r="BK82" i="67"/>
  <c r="BJ82" i="67"/>
  <c r="BI82" i="67"/>
  <c r="BH82" i="67"/>
  <c r="BG82" i="67"/>
  <c r="BF82" i="67"/>
  <c r="BE82" i="67"/>
  <c r="BD82" i="67"/>
  <c r="BC82" i="67"/>
  <c r="BB82" i="67"/>
  <c r="BA82" i="67"/>
  <c r="AZ82" i="67"/>
  <c r="AY82" i="67"/>
  <c r="AX82" i="67"/>
  <c r="AW82" i="67"/>
  <c r="AV82" i="67"/>
  <c r="AU82" i="67"/>
  <c r="AG82" i="67"/>
  <c r="AE82" i="67"/>
  <c r="AB82" i="67"/>
  <c r="AA82" i="67"/>
  <c r="Y82" i="67"/>
  <c r="X82" i="67"/>
  <c r="W82" i="67"/>
  <c r="V82" i="67"/>
  <c r="U82" i="67"/>
  <c r="T82" i="67"/>
  <c r="R82" i="67"/>
  <c r="Q82" i="67"/>
  <c r="J82" i="67"/>
  <c r="F82" i="67"/>
  <c r="BT81" i="67"/>
  <c r="BS81" i="67"/>
  <c r="BR81" i="67"/>
  <c r="BQ81" i="67"/>
  <c r="BP81" i="67"/>
  <c r="BO81" i="67"/>
  <c r="BN81" i="67"/>
  <c r="BM81" i="67"/>
  <c r="BL81" i="67"/>
  <c r="BK81" i="67"/>
  <c r="BJ81" i="67"/>
  <c r="BI81" i="67"/>
  <c r="BH81" i="67"/>
  <c r="BG81" i="67"/>
  <c r="BF81" i="67"/>
  <c r="BE81" i="67"/>
  <c r="BD81" i="67"/>
  <c r="BC81" i="67"/>
  <c r="BB81" i="67"/>
  <c r="BA81" i="67"/>
  <c r="AZ81" i="67"/>
  <c r="AY81" i="67"/>
  <c r="AX81" i="67"/>
  <c r="AW81" i="67"/>
  <c r="AV81" i="67"/>
  <c r="AU81" i="67"/>
  <c r="AG81" i="67"/>
  <c r="AE81" i="67"/>
  <c r="AB81" i="67"/>
  <c r="AA81" i="67"/>
  <c r="Z81" i="67"/>
  <c r="Y81" i="67"/>
  <c r="X81" i="67"/>
  <c r="W81" i="67"/>
  <c r="V81" i="67"/>
  <c r="U81" i="67"/>
  <c r="T81" i="67"/>
  <c r="R81" i="67"/>
  <c r="Q81" i="67"/>
  <c r="J81" i="67"/>
  <c r="F81" i="67"/>
  <c r="BT80" i="67"/>
  <c r="BS80" i="67"/>
  <c r="BR80" i="67"/>
  <c r="BQ80" i="67"/>
  <c r="BP80" i="67"/>
  <c r="BO80" i="67"/>
  <c r="BN80" i="67"/>
  <c r="BM80" i="67"/>
  <c r="BL80" i="67"/>
  <c r="BK80" i="67"/>
  <c r="BJ80" i="67"/>
  <c r="BI80" i="67"/>
  <c r="BH80" i="67"/>
  <c r="BG80" i="67"/>
  <c r="BF80" i="67"/>
  <c r="BE80" i="67"/>
  <c r="BD80" i="67"/>
  <c r="BC80" i="67"/>
  <c r="BB80" i="67"/>
  <c r="BA80" i="67"/>
  <c r="AZ80" i="67"/>
  <c r="AY80" i="67"/>
  <c r="AX80" i="67"/>
  <c r="AW80" i="67"/>
  <c r="AV80" i="67"/>
  <c r="AU80" i="67"/>
  <c r="AG80" i="67"/>
  <c r="AE80" i="67"/>
  <c r="AB80" i="67"/>
  <c r="AA80" i="67"/>
  <c r="Z80" i="67"/>
  <c r="Y80" i="67"/>
  <c r="X80" i="67"/>
  <c r="W80" i="67"/>
  <c r="V80" i="67"/>
  <c r="U80" i="67"/>
  <c r="T80" i="67"/>
  <c r="R80" i="67"/>
  <c r="Q80" i="67"/>
  <c r="J80" i="67"/>
  <c r="F80" i="67"/>
  <c r="BT79" i="67"/>
  <c r="BS79" i="67"/>
  <c r="BR79" i="67"/>
  <c r="BQ79" i="67"/>
  <c r="BP79" i="67"/>
  <c r="BO79" i="67"/>
  <c r="BN79" i="67"/>
  <c r="BM79" i="67"/>
  <c r="BL79" i="67"/>
  <c r="BK79" i="67"/>
  <c r="BJ79" i="67"/>
  <c r="BI79" i="67"/>
  <c r="BH79" i="67"/>
  <c r="BG79" i="67"/>
  <c r="BF79" i="67"/>
  <c r="BE79" i="67"/>
  <c r="BD79" i="67"/>
  <c r="BC79" i="67"/>
  <c r="BB79" i="67"/>
  <c r="BA79" i="67"/>
  <c r="AZ79" i="67"/>
  <c r="AY79" i="67"/>
  <c r="AX79" i="67"/>
  <c r="AW79" i="67"/>
  <c r="AV79" i="67"/>
  <c r="AU79" i="67"/>
  <c r="AG79" i="67"/>
  <c r="AE79" i="67"/>
  <c r="AC79" i="67"/>
  <c r="AB79" i="67"/>
  <c r="AA79" i="67"/>
  <c r="Z79" i="67"/>
  <c r="Y79" i="67"/>
  <c r="X79" i="67"/>
  <c r="W79" i="67"/>
  <c r="V79" i="67"/>
  <c r="U79" i="67"/>
  <c r="T79" i="67"/>
  <c r="R79" i="67"/>
  <c r="Q79" i="67"/>
  <c r="J79" i="67"/>
  <c r="F79" i="67"/>
  <c r="BT78" i="67"/>
  <c r="BS78" i="67"/>
  <c r="BR78" i="67"/>
  <c r="BQ78" i="67"/>
  <c r="BP78" i="67"/>
  <c r="BO78" i="67"/>
  <c r="BN78" i="67"/>
  <c r="BM78" i="67"/>
  <c r="BL78" i="67"/>
  <c r="BK78" i="67"/>
  <c r="BJ78" i="67"/>
  <c r="BI78" i="67"/>
  <c r="BH78" i="67"/>
  <c r="BG78" i="67"/>
  <c r="BF78" i="67"/>
  <c r="BE78" i="67"/>
  <c r="BD78" i="67"/>
  <c r="BC78" i="67"/>
  <c r="BB78" i="67"/>
  <c r="BA78" i="67"/>
  <c r="AZ78" i="67"/>
  <c r="AY78" i="67"/>
  <c r="AX78" i="67"/>
  <c r="AW78" i="67"/>
  <c r="AV78" i="67"/>
  <c r="AU78" i="67"/>
  <c r="AG78" i="67"/>
  <c r="AE78" i="67"/>
  <c r="AC78" i="67"/>
  <c r="AB78" i="67"/>
  <c r="AA78" i="67"/>
  <c r="Z78" i="67"/>
  <c r="Y78" i="67"/>
  <c r="X78" i="67"/>
  <c r="W78" i="67"/>
  <c r="V78" i="67"/>
  <c r="U78" i="67"/>
  <c r="T78" i="67"/>
  <c r="R78" i="67"/>
  <c r="Q78" i="67"/>
  <c r="J78" i="67"/>
  <c r="F78" i="67"/>
  <c r="BT77" i="67"/>
  <c r="BS77" i="67"/>
  <c r="BR77" i="67"/>
  <c r="BQ77" i="67"/>
  <c r="BP77" i="67"/>
  <c r="BO77" i="67"/>
  <c r="BN77" i="67"/>
  <c r="BM77" i="67"/>
  <c r="BL77" i="67"/>
  <c r="BK77" i="67"/>
  <c r="BJ77" i="67"/>
  <c r="BI77" i="67"/>
  <c r="BH77" i="67"/>
  <c r="BG77" i="67"/>
  <c r="BF77" i="67"/>
  <c r="BE77" i="67"/>
  <c r="BD77" i="67"/>
  <c r="BC77" i="67"/>
  <c r="BB77" i="67"/>
  <c r="BA77" i="67"/>
  <c r="AZ77" i="67"/>
  <c r="AY77" i="67"/>
  <c r="AX77" i="67"/>
  <c r="AW77" i="67"/>
  <c r="AV77" i="67"/>
  <c r="AU77" i="67"/>
  <c r="AG77" i="67"/>
  <c r="AE77" i="67"/>
  <c r="AC77" i="67"/>
  <c r="AB77" i="67"/>
  <c r="AA77" i="67"/>
  <c r="Y77" i="67"/>
  <c r="X77" i="67"/>
  <c r="W77" i="67"/>
  <c r="V77" i="67"/>
  <c r="U77" i="67"/>
  <c r="T77" i="67"/>
  <c r="S77" i="67"/>
  <c r="R77" i="67"/>
  <c r="Q77" i="67"/>
  <c r="J77" i="67"/>
  <c r="F77" i="67"/>
  <c r="BT76" i="67"/>
  <c r="BS76" i="67"/>
  <c r="BR76" i="67"/>
  <c r="BQ76" i="67"/>
  <c r="BP76" i="67"/>
  <c r="BO76" i="67"/>
  <c r="BN76" i="67"/>
  <c r="BM76" i="67"/>
  <c r="BL76" i="67"/>
  <c r="BK76" i="67"/>
  <c r="BJ76" i="67"/>
  <c r="BI76" i="67"/>
  <c r="BH76" i="67"/>
  <c r="BG76" i="67"/>
  <c r="BF76" i="67"/>
  <c r="BE76" i="67"/>
  <c r="BD76" i="67"/>
  <c r="BC76" i="67"/>
  <c r="BB76" i="67"/>
  <c r="BA76" i="67"/>
  <c r="AZ76" i="67"/>
  <c r="AY76" i="67"/>
  <c r="AX76" i="67"/>
  <c r="AW76" i="67"/>
  <c r="AV76" i="67"/>
  <c r="AU76" i="67"/>
  <c r="AG76" i="67"/>
  <c r="AE76" i="67"/>
  <c r="AC76" i="67"/>
  <c r="AB76" i="67"/>
  <c r="AA76" i="67"/>
  <c r="Z76" i="67"/>
  <c r="Y76" i="67"/>
  <c r="X76" i="67"/>
  <c r="W76" i="67"/>
  <c r="V76" i="67"/>
  <c r="U76" i="67"/>
  <c r="T76" i="67"/>
  <c r="S76" i="67"/>
  <c r="R76" i="67"/>
  <c r="Q76" i="67"/>
  <c r="J76" i="67"/>
  <c r="F76" i="67"/>
  <c r="BT75" i="67"/>
  <c r="BS75" i="67"/>
  <c r="BR75" i="67"/>
  <c r="BQ75" i="67"/>
  <c r="BP75" i="67"/>
  <c r="BO75" i="67"/>
  <c r="BN75" i="67"/>
  <c r="BM75" i="67"/>
  <c r="BL75" i="67"/>
  <c r="BK75" i="67"/>
  <c r="BJ75" i="67"/>
  <c r="BI75" i="67"/>
  <c r="BH75" i="67"/>
  <c r="BG75" i="67"/>
  <c r="BF75" i="67"/>
  <c r="BE75" i="67"/>
  <c r="BD75" i="67"/>
  <c r="BC75" i="67"/>
  <c r="BB75" i="67"/>
  <c r="BA75" i="67"/>
  <c r="AZ75" i="67"/>
  <c r="AY75" i="67"/>
  <c r="AX75" i="67"/>
  <c r="AW75" i="67"/>
  <c r="AV75" i="67"/>
  <c r="AU75" i="67"/>
  <c r="AG75" i="67"/>
  <c r="AE75" i="67"/>
  <c r="AC75" i="67"/>
  <c r="AB75" i="67"/>
  <c r="AA75" i="67"/>
  <c r="Z75" i="67"/>
  <c r="Y75" i="67"/>
  <c r="X75" i="67"/>
  <c r="V75" i="67"/>
  <c r="U75" i="67"/>
  <c r="T75" i="67"/>
  <c r="R75" i="67"/>
  <c r="Q75" i="67"/>
  <c r="J75" i="67"/>
  <c r="F75" i="67"/>
  <c r="BT74" i="67"/>
  <c r="BS74" i="67"/>
  <c r="BR74" i="67"/>
  <c r="BQ74" i="67"/>
  <c r="BP74" i="67"/>
  <c r="BO74" i="67"/>
  <c r="BN74" i="67"/>
  <c r="BM74" i="67"/>
  <c r="BL74" i="67"/>
  <c r="BK74" i="67"/>
  <c r="BJ74" i="67"/>
  <c r="BI74" i="67"/>
  <c r="BH74" i="67"/>
  <c r="BG74" i="67"/>
  <c r="BF74" i="67"/>
  <c r="BE74" i="67"/>
  <c r="BD74" i="67"/>
  <c r="BC74" i="67"/>
  <c r="BB74" i="67"/>
  <c r="BA74" i="67"/>
  <c r="AZ74" i="67"/>
  <c r="AY74" i="67"/>
  <c r="AX74" i="67"/>
  <c r="AW74" i="67"/>
  <c r="AV74" i="67"/>
  <c r="AU74" i="67"/>
  <c r="AG74" i="67"/>
  <c r="AE74" i="67"/>
  <c r="AC74" i="67"/>
  <c r="AB74" i="67"/>
  <c r="AA74" i="67"/>
  <c r="Z74" i="67"/>
  <c r="Y74" i="67"/>
  <c r="X74" i="67"/>
  <c r="V74" i="67"/>
  <c r="U74" i="67"/>
  <c r="T74" i="67"/>
  <c r="S74" i="67"/>
  <c r="Q74" i="67"/>
  <c r="J74" i="67"/>
  <c r="F74" i="67"/>
  <c r="BT73" i="67"/>
  <c r="BS73" i="67"/>
  <c r="BR73" i="67"/>
  <c r="BQ73" i="67"/>
  <c r="BP73" i="67"/>
  <c r="BO73" i="67"/>
  <c r="BN73" i="67"/>
  <c r="BM73" i="67"/>
  <c r="BL73" i="67"/>
  <c r="BK73" i="67"/>
  <c r="BJ73" i="67"/>
  <c r="BI73" i="67"/>
  <c r="BH73" i="67"/>
  <c r="BG73" i="67"/>
  <c r="BF73" i="67"/>
  <c r="BE73" i="67"/>
  <c r="BD73" i="67"/>
  <c r="BC73" i="67"/>
  <c r="BB73" i="67"/>
  <c r="BA73" i="67"/>
  <c r="AZ73" i="67"/>
  <c r="AY73" i="67"/>
  <c r="AX73" i="67"/>
  <c r="AW73" i="67"/>
  <c r="AV73" i="67"/>
  <c r="AU73" i="67"/>
  <c r="AG73" i="67"/>
  <c r="AE73" i="67"/>
  <c r="AC73" i="67"/>
  <c r="AB73" i="67"/>
  <c r="AA73" i="67"/>
  <c r="Z73" i="67"/>
  <c r="Y73" i="67"/>
  <c r="X73" i="67"/>
  <c r="W73" i="67"/>
  <c r="V73" i="67"/>
  <c r="U73" i="67"/>
  <c r="T73" i="67"/>
  <c r="S73" i="67"/>
  <c r="Q73" i="67"/>
  <c r="J73" i="67"/>
  <c r="F73" i="67"/>
  <c r="BT72" i="67"/>
  <c r="BS72" i="67"/>
  <c r="BR72" i="67"/>
  <c r="BQ72" i="67"/>
  <c r="BP72" i="67"/>
  <c r="BO72" i="67"/>
  <c r="BN72" i="67"/>
  <c r="BM72" i="67"/>
  <c r="BL72" i="67"/>
  <c r="BK72" i="67"/>
  <c r="BJ72" i="67"/>
  <c r="BI72" i="67"/>
  <c r="BH72" i="67"/>
  <c r="BG72" i="67"/>
  <c r="BF72" i="67"/>
  <c r="BE72" i="67"/>
  <c r="BD72" i="67"/>
  <c r="BC72" i="67"/>
  <c r="BB72" i="67"/>
  <c r="BA72" i="67"/>
  <c r="AZ72" i="67"/>
  <c r="AY72" i="67"/>
  <c r="AX72" i="67"/>
  <c r="AW72" i="67"/>
  <c r="AV72" i="67"/>
  <c r="AU72" i="67"/>
  <c r="AG72" i="67"/>
  <c r="AE72" i="67"/>
  <c r="AC72" i="67"/>
  <c r="AB72" i="67"/>
  <c r="AA72" i="67"/>
  <c r="Y72" i="67"/>
  <c r="X72" i="67"/>
  <c r="W72" i="67"/>
  <c r="V72" i="67"/>
  <c r="U72" i="67"/>
  <c r="T72" i="67"/>
  <c r="S72" i="67"/>
  <c r="R72" i="67"/>
  <c r="Q72" i="67"/>
  <c r="J72" i="67"/>
  <c r="F72" i="67"/>
  <c r="BT71" i="67"/>
  <c r="BS71" i="67"/>
  <c r="BR71" i="67"/>
  <c r="BQ71" i="67"/>
  <c r="BP71" i="67"/>
  <c r="BO71" i="67"/>
  <c r="BN71" i="67"/>
  <c r="BM71" i="67"/>
  <c r="BL71" i="67"/>
  <c r="BK71" i="67"/>
  <c r="BJ71" i="67"/>
  <c r="BI71" i="67"/>
  <c r="BH71" i="67"/>
  <c r="BG71" i="67"/>
  <c r="BF71" i="67"/>
  <c r="BE71" i="67"/>
  <c r="BD71" i="67"/>
  <c r="BC71" i="67"/>
  <c r="BB71" i="67"/>
  <c r="BA71" i="67"/>
  <c r="AZ71" i="67"/>
  <c r="AY71" i="67"/>
  <c r="AX71" i="67"/>
  <c r="AW71" i="67"/>
  <c r="AV71" i="67"/>
  <c r="AU71" i="67"/>
  <c r="AG71" i="67"/>
  <c r="AE71" i="67"/>
  <c r="AC71" i="67"/>
  <c r="AB71" i="67"/>
  <c r="AA71" i="67"/>
  <c r="Z71" i="67"/>
  <c r="Y71" i="67"/>
  <c r="X71" i="67"/>
  <c r="V71" i="67"/>
  <c r="U71" i="67"/>
  <c r="T71" i="67"/>
  <c r="R71" i="67"/>
  <c r="Q71" i="67"/>
  <c r="J71" i="67"/>
  <c r="F71" i="67"/>
  <c r="BT70" i="67"/>
  <c r="BS70" i="67"/>
  <c r="BR70" i="67"/>
  <c r="BQ70" i="67"/>
  <c r="BP70" i="67"/>
  <c r="BO70" i="67"/>
  <c r="BN70" i="67"/>
  <c r="BM70" i="67"/>
  <c r="BL70" i="67"/>
  <c r="BK70" i="67"/>
  <c r="BJ70" i="67"/>
  <c r="BI70" i="67"/>
  <c r="BH70" i="67"/>
  <c r="BG70" i="67"/>
  <c r="BF70" i="67"/>
  <c r="BE70" i="67"/>
  <c r="BD70" i="67"/>
  <c r="BC70" i="67"/>
  <c r="BB70" i="67"/>
  <c r="BA70" i="67"/>
  <c r="AZ70" i="67"/>
  <c r="AY70" i="67"/>
  <c r="AX70" i="67"/>
  <c r="AW70" i="67"/>
  <c r="AV70" i="67"/>
  <c r="AU70" i="67"/>
  <c r="AG70" i="67"/>
  <c r="AE70" i="67"/>
  <c r="AC70" i="67"/>
  <c r="AB70" i="67"/>
  <c r="AA70" i="67"/>
  <c r="Z70" i="67"/>
  <c r="Y70" i="67"/>
  <c r="X70" i="67"/>
  <c r="V70" i="67"/>
  <c r="U70" i="67"/>
  <c r="T70" i="67"/>
  <c r="R70" i="67"/>
  <c r="Q70" i="67"/>
  <c r="J70" i="67"/>
  <c r="F70" i="67"/>
  <c r="BT69" i="67"/>
  <c r="BS69" i="67"/>
  <c r="BR69" i="67"/>
  <c r="BQ69" i="67"/>
  <c r="BP69" i="67"/>
  <c r="BO69" i="67"/>
  <c r="BN69" i="67"/>
  <c r="BM69" i="67"/>
  <c r="BL69" i="67"/>
  <c r="BK69" i="67"/>
  <c r="BJ69" i="67"/>
  <c r="BI69" i="67"/>
  <c r="BH69" i="67"/>
  <c r="BG69" i="67"/>
  <c r="BF69" i="67"/>
  <c r="BE69" i="67"/>
  <c r="BD69" i="67"/>
  <c r="BC69" i="67"/>
  <c r="BB69" i="67"/>
  <c r="BA69" i="67"/>
  <c r="AZ69" i="67"/>
  <c r="AY69" i="67"/>
  <c r="AX69" i="67"/>
  <c r="AW69" i="67"/>
  <c r="AV69" i="67"/>
  <c r="AU69" i="67"/>
  <c r="AG69" i="67"/>
  <c r="AE69" i="67"/>
  <c r="AC69" i="67"/>
  <c r="AB69" i="67"/>
  <c r="AA69" i="67"/>
  <c r="Z69" i="67"/>
  <c r="Y69" i="67"/>
  <c r="X69" i="67"/>
  <c r="W69" i="67"/>
  <c r="V69" i="67"/>
  <c r="U69" i="67"/>
  <c r="R69" i="67"/>
  <c r="Q69" i="67"/>
  <c r="J69" i="67"/>
  <c r="F69" i="67"/>
  <c r="BT26" i="67"/>
  <c r="BS26" i="67"/>
  <c r="BR26" i="67"/>
  <c r="BQ26" i="67"/>
  <c r="BP26" i="67"/>
  <c r="BO26" i="67"/>
  <c r="BN26" i="67"/>
  <c r="BM26" i="67"/>
  <c r="BL26" i="67"/>
  <c r="BK26" i="67"/>
  <c r="BJ26" i="67"/>
  <c r="BI26" i="67"/>
  <c r="BH26" i="67"/>
  <c r="BG26" i="67"/>
  <c r="BF26" i="67"/>
  <c r="BE26" i="67"/>
  <c r="BD26" i="67"/>
  <c r="BC26" i="67"/>
  <c r="BB26" i="67"/>
  <c r="BA26" i="67"/>
  <c r="AZ26" i="67"/>
  <c r="AY26" i="67"/>
  <c r="AX26" i="67"/>
  <c r="AW26" i="67"/>
  <c r="AV26" i="67"/>
  <c r="AU26" i="67"/>
  <c r="AG26" i="67"/>
  <c r="AE26" i="67"/>
  <c r="AC26" i="67"/>
  <c r="AB26" i="67"/>
  <c r="AA26" i="67"/>
  <c r="Y26" i="67"/>
  <c r="X26" i="67"/>
  <c r="W26" i="67"/>
  <c r="V26" i="67"/>
  <c r="U26" i="67"/>
  <c r="T26" i="67"/>
  <c r="S26" i="67"/>
  <c r="R26" i="67"/>
  <c r="Q26" i="67"/>
  <c r="J26" i="67"/>
  <c r="F26" i="67"/>
  <c r="BT25" i="67"/>
  <c r="BS25" i="67"/>
  <c r="BR25" i="67"/>
  <c r="BQ25" i="67"/>
  <c r="BP25" i="67"/>
  <c r="BO25" i="67"/>
  <c r="BN25" i="67"/>
  <c r="BM25" i="67"/>
  <c r="BL25" i="67"/>
  <c r="BK25" i="67"/>
  <c r="BJ25" i="67"/>
  <c r="BI25" i="67"/>
  <c r="BH25" i="67"/>
  <c r="BG25" i="67"/>
  <c r="BF25" i="67"/>
  <c r="BE25" i="67"/>
  <c r="BD25" i="67"/>
  <c r="BC25" i="67"/>
  <c r="BB25" i="67"/>
  <c r="BA25" i="67"/>
  <c r="AZ25" i="67"/>
  <c r="AY25" i="67"/>
  <c r="AX25" i="67"/>
  <c r="AW25" i="67"/>
  <c r="AV25" i="67"/>
  <c r="AU25" i="67"/>
  <c r="AG25" i="67"/>
  <c r="AE25" i="67"/>
  <c r="AC25" i="67"/>
  <c r="AB25" i="67"/>
  <c r="AA25" i="67"/>
  <c r="Z25" i="67"/>
  <c r="Y25" i="67"/>
  <c r="X25" i="67"/>
  <c r="W25" i="67"/>
  <c r="U25" i="67"/>
  <c r="T25" i="67"/>
  <c r="S25" i="67"/>
  <c r="R25" i="67"/>
  <c r="Q25" i="67"/>
  <c r="J25" i="67"/>
  <c r="F25" i="67"/>
  <c r="BT24" i="67"/>
  <c r="BS24" i="67"/>
  <c r="BR24" i="67"/>
  <c r="BQ24" i="67"/>
  <c r="BP24" i="67"/>
  <c r="BO24" i="67"/>
  <c r="BN24" i="67"/>
  <c r="BM24" i="67"/>
  <c r="BL24" i="67"/>
  <c r="BK24" i="67"/>
  <c r="BJ24" i="67"/>
  <c r="BI24" i="67"/>
  <c r="BH24" i="67"/>
  <c r="BG24" i="67"/>
  <c r="BF24" i="67"/>
  <c r="BE24" i="67"/>
  <c r="BD24" i="67"/>
  <c r="BC24" i="67"/>
  <c r="BB24" i="67"/>
  <c r="BA24" i="67"/>
  <c r="AZ24" i="67"/>
  <c r="AY24" i="67"/>
  <c r="AX24" i="67"/>
  <c r="AW24" i="67"/>
  <c r="AV24" i="67"/>
  <c r="AU24" i="67"/>
  <c r="AG24" i="67"/>
  <c r="AE24" i="67"/>
  <c r="AC24" i="67"/>
  <c r="AB24" i="67"/>
  <c r="AA24" i="67"/>
  <c r="Z24" i="67"/>
  <c r="Y24" i="67"/>
  <c r="X24" i="67"/>
  <c r="W24" i="67"/>
  <c r="V24" i="67"/>
  <c r="U24" i="67"/>
  <c r="T24" i="67"/>
  <c r="R24" i="67"/>
  <c r="Q24" i="67"/>
  <c r="J24" i="67"/>
  <c r="F24" i="67"/>
  <c r="BT23" i="67"/>
  <c r="BS23" i="67"/>
  <c r="BR23" i="67"/>
  <c r="BQ23" i="67"/>
  <c r="BP23" i="67"/>
  <c r="BO23" i="67"/>
  <c r="BN23" i="67"/>
  <c r="BM23" i="67"/>
  <c r="BL23" i="67"/>
  <c r="BK23" i="67"/>
  <c r="BJ23" i="67"/>
  <c r="BI23" i="67"/>
  <c r="BH23" i="67"/>
  <c r="BG23" i="67"/>
  <c r="BF23" i="67"/>
  <c r="BE23" i="67"/>
  <c r="BD23" i="67"/>
  <c r="BC23" i="67"/>
  <c r="BB23" i="67"/>
  <c r="BA23" i="67"/>
  <c r="AZ23" i="67"/>
  <c r="AY23" i="67"/>
  <c r="AX23" i="67"/>
  <c r="AW23" i="67"/>
  <c r="AV23" i="67"/>
  <c r="AU23" i="67"/>
  <c r="AG23" i="67"/>
  <c r="AE23" i="67"/>
  <c r="AC23" i="67"/>
  <c r="AB23" i="67"/>
  <c r="AA23" i="67"/>
  <c r="Z23" i="67"/>
  <c r="Y23" i="67"/>
  <c r="X23" i="67"/>
  <c r="W23" i="67"/>
  <c r="V23" i="67"/>
  <c r="U23" i="67"/>
  <c r="R23" i="67"/>
  <c r="Q23" i="67"/>
  <c r="J23" i="67"/>
  <c r="F23" i="67"/>
  <c r="BT22" i="67"/>
  <c r="BS22" i="67"/>
  <c r="BR22" i="67"/>
  <c r="BQ22" i="67"/>
  <c r="BP22" i="67"/>
  <c r="BO22" i="67"/>
  <c r="BN22" i="67"/>
  <c r="BM22" i="67"/>
  <c r="BL22" i="67"/>
  <c r="BK22" i="67"/>
  <c r="BJ22" i="67"/>
  <c r="BI22" i="67"/>
  <c r="BH22" i="67"/>
  <c r="BG22" i="67"/>
  <c r="BF22" i="67"/>
  <c r="BE22" i="67"/>
  <c r="BD22" i="67"/>
  <c r="BC22" i="67"/>
  <c r="BB22" i="67"/>
  <c r="BA22" i="67"/>
  <c r="AZ22" i="67"/>
  <c r="AY22" i="67"/>
  <c r="AX22" i="67"/>
  <c r="AW22" i="67"/>
  <c r="AV22" i="67"/>
  <c r="AU22" i="67"/>
  <c r="AG22" i="67"/>
  <c r="AE22" i="67"/>
  <c r="AC22" i="67"/>
  <c r="AB22" i="67"/>
  <c r="AA22" i="67"/>
  <c r="Z22" i="67"/>
  <c r="Y22" i="67"/>
  <c r="X22" i="67"/>
  <c r="W22" i="67"/>
  <c r="V22" i="67"/>
  <c r="U22" i="67"/>
  <c r="T22" i="67"/>
  <c r="S22" i="67"/>
  <c r="Q22" i="67"/>
  <c r="J22" i="67"/>
  <c r="F22" i="67"/>
  <c r="BT21" i="67"/>
  <c r="BS21" i="67"/>
  <c r="BR21" i="67"/>
  <c r="BQ21" i="67"/>
  <c r="BP21" i="67"/>
  <c r="BO21" i="67"/>
  <c r="BN21" i="67"/>
  <c r="BM21" i="67"/>
  <c r="BL21" i="67"/>
  <c r="BK21" i="67"/>
  <c r="BJ21" i="67"/>
  <c r="BI21" i="67"/>
  <c r="BH21" i="67"/>
  <c r="BG21" i="67"/>
  <c r="BF21" i="67"/>
  <c r="BE21" i="67"/>
  <c r="BD21" i="67"/>
  <c r="BC21" i="67"/>
  <c r="BB21" i="67"/>
  <c r="BA21" i="67"/>
  <c r="AZ21" i="67"/>
  <c r="AY21" i="67"/>
  <c r="AX21" i="67"/>
  <c r="AW21" i="67"/>
  <c r="AV21" i="67"/>
  <c r="AU21" i="67"/>
  <c r="AG21" i="67"/>
  <c r="AE21" i="67"/>
  <c r="AC21" i="67"/>
  <c r="AB21" i="67"/>
  <c r="AA21" i="67"/>
  <c r="Y21" i="67"/>
  <c r="X21" i="67"/>
  <c r="W21" i="67"/>
  <c r="V21" i="67"/>
  <c r="U21" i="67"/>
  <c r="T21" i="67"/>
  <c r="S21" i="67"/>
  <c r="R21" i="67"/>
  <c r="Q21" i="67"/>
  <c r="J21" i="67"/>
  <c r="F21" i="67"/>
  <c r="BT20" i="67"/>
  <c r="BS20" i="67"/>
  <c r="BR20" i="67"/>
  <c r="BQ20" i="67"/>
  <c r="BP20" i="67"/>
  <c r="BO20" i="67"/>
  <c r="BN20" i="67"/>
  <c r="BM20" i="67"/>
  <c r="BL20" i="67"/>
  <c r="BK20" i="67"/>
  <c r="BJ20" i="67"/>
  <c r="BI20" i="67"/>
  <c r="BH20" i="67"/>
  <c r="BG20" i="67"/>
  <c r="BF20" i="67"/>
  <c r="BE20" i="67"/>
  <c r="BD20" i="67"/>
  <c r="BC20" i="67"/>
  <c r="BB20" i="67"/>
  <c r="BA20" i="67"/>
  <c r="AZ20" i="67"/>
  <c r="AY20" i="67"/>
  <c r="AX20" i="67"/>
  <c r="AW20" i="67"/>
  <c r="AV20" i="67"/>
  <c r="AU20" i="67"/>
  <c r="AG20" i="67"/>
  <c r="AE20" i="67"/>
  <c r="AC20" i="67"/>
  <c r="AB20" i="67"/>
  <c r="AA20" i="67"/>
  <c r="Y20" i="67"/>
  <c r="X20" i="67"/>
  <c r="W20" i="67"/>
  <c r="V20" i="67"/>
  <c r="U20" i="67"/>
  <c r="T20" i="67"/>
  <c r="S20" i="67"/>
  <c r="Q20" i="67"/>
  <c r="J20" i="67"/>
  <c r="F20" i="67"/>
  <c r="BT19" i="67"/>
  <c r="BS19" i="67"/>
  <c r="BR19" i="67"/>
  <c r="BQ19" i="67"/>
  <c r="BP19" i="67"/>
  <c r="BO19" i="67"/>
  <c r="BN19" i="67"/>
  <c r="BM19" i="67"/>
  <c r="BL19" i="67"/>
  <c r="BK19" i="67"/>
  <c r="BJ19" i="67"/>
  <c r="BI19" i="67"/>
  <c r="BH19" i="67"/>
  <c r="BG19" i="67"/>
  <c r="BF19" i="67"/>
  <c r="BE19" i="67"/>
  <c r="BD19" i="67"/>
  <c r="BC19" i="67"/>
  <c r="BB19" i="67"/>
  <c r="BA19" i="67"/>
  <c r="AZ19" i="67"/>
  <c r="AY19" i="67"/>
  <c r="AX19" i="67"/>
  <c r="AW19" i="67"/>
  <c r="AV19" i="67"/>
  <c r="AU19" i="67"/>
  <c r="AG19" i="67"/>
  <c r="AE19" i="67"/>
  <c r="AC19" i="67"/>
  <c r="AB19" i="67"/>
  <c r="AA19" i="67"/>
  <c r="Y19" i="67"/>
  <c r="X19" i="67"/>
  <c r="W19" i="67"/>
  <c r="V19" i="67"/>
  <c r="U19" i="67"/>
  <c r="T19" i="67"/>
  <c r="S19" i="67"/>
  <c r="R19" i="67"/>
  <c r="Q19" i="67"/>
  <c r="J19" i="67"/>
  <c r="F19" i="67"/>
  <c r="BT18" i="67"/>
  <c r="BS18" i="67"/>
  <c r="BR18" i="67"/>
  <c r="BQ18" i="67"/>
  <c r="BP18" i="67"/>
  <c r="BO18" i="67"/>
  <c r="BN18" i="67"/>
  <c r="BM18" i="67"/>
  <c r="BL18" i="67"/>
  <c r="BK18" i="67"/>
  <c r="BJ18" i="67"/>
  <c r="BI18" i="67"/>
  <c r="BH18" i="67"/>
  <c r="BG18" i="67"/>
  <c r="BF18" i="67"/>
  <c r="BE18" i="67"/>
  <c r="BD18" i="67"/>
  <c r="BC18" i="67"/>
  <c r="BB18" i="67"/>
  <c r="BA18" i="67"/>
  <c r="AZ18" i="67"/>
  <c r="AY18" i="67"/>
  <c r="AX18" i="67"/>
  <c r="AW18" i="67"/>
  <c r="AV18" i="67"/>
  <c r="AU18" i="67"/>
  <c r="AG18" i="67"/>
  <c r="AE18" i="67"/>
  <c r="AC18" i="67"/>
  <c r="AB18" i="67"/>
  <c r="AA18" i="67"/>
  <c r="Y18" i="67"/>
  <c r="X18" i="67"/>
  <c r="W18" i="67"/>
  <c r="V18" i="67"/>
  <c r="U18" i="67"/>
  <c r="S18" i="67"/>
  <c r="R18" i="67"/>
  <c r="Q18" i="67"/>
  <c r="J18" i="67"/>
  <c r="F18" i="67"/>
  <c r="BT17" i="67"/>
  <c r="BS17" i="67"/>
  <c r="BR17" i="67"/>
  <c r="BQ17" i="67"/>
  <c r="BP17" i="67"/>
  <c r="BO17" i="67"/>
  <c r="BN17" i="67"/>
  <c r="BM17" i="67"/>
  <c r="BL17" i="67"/>
  <c r="BK17" i="67"/>
  <c r="BJ17" i="67"/>
  <c r="BI17" i="67"/>
  <c r="BH17" i="67"/>
  <c r="BG17" i="67"/>
  <c r="BF17" i="67"/>
  <c r="BE17" i="67"/>
  <c r="BD17" i="67"/>
  <c r="BC17" i="67"/>
  <c r="BB17" i="67"/>
  <c r="BA17" i="67"/>
  <c r="AZ17" i="67"/>
  <c r="AY17" i="67"/>
  <c r="AX17" i="67"/>
  <c r="AW17" i="67"/>
  <c r="AV17" i="67"/>
  <c r="AU17" i="67"/>
  <c r="AG17" i="67"/>
  <c r="AE17" i="67"/>
  <c r="AB17" i="67"/>
  <c r="AA17" i="67"/>
  <c r="Z17" i="67"/>
  <c r="Y17" i="67"/>
  <c r="X17" i="67"/>
  <c r="W17" i="67"/>
  <c r="V17" i="67"/>
  <c r="U17" i="67"/>
  <c r="T17" i="67"/>
  <c r="S17" i="67"/>
  <c r="Q17" i="67"/>
  <c r="J17" i="67"/>
  <c r="F17" i="67"/>
  <c r="BT16" i="67"/>
  <c r="BS16" i="67"/>
  <c r="BR16" i="67"/>
  <c r="BQ16" i="67"/>
  <c r="BP16" i="67"/>
  <c r="BO16" i="67"/>
  <c r="BN16" i="67"/>
  <c r="BM16" i="67"/>
  <c r="BL16" i="67"/>
  <c r="BK16" i="67"/>
  <c r="BJ16" i="67"/>
  <c r="BI16" i="67"/>
  <c r="BH16" i="67"/>
  <c r="BG16" i="67"/>
  <c r="BF16" i="67"/>
  <c r="BE16" i="67"/>
  <c r="BD16" i="67"/>
  <c r="BC16" i="67"/>
  <c r="BB16" i="67"/>
  <c r="BA16" i="67"/>
  <c r="AZ16" i="67"/>
  <c r="AY16" i="67"/>
  <c r="AX16" i="67"/>
  <c r="AW16" i="67"/>
  <c r="AV16" i="67"/>
  <c r="AU16" i="67"/>
  <c r="AG16" i="67"/>
  <c r="AE16" i="67"/>
  <c r="AB16" i="67"/>
  <c r="AA16" i="67"/>
  <c r="Y16" i="67"/>
  <c r="X16" i="67"/>
  <c r="W16" i="67"/>
  <c r="V16" i="67"/>
  <c r="U16" i="67"/>
  <c r="T16" i="67"/>
  <c r="S16" i="67"/>
  <c r="R16" i="67"/>
  <c r="Q16" i="67"/>
  <c r="J16" i="67"/>
  <c r="F16" i="67"/>
  <c r="BT15" i="67"/>
  <c r="BS15" i="67"/>
  <c r="BR15" i="67"/>
  <c r="BQ15" i="67"/>
  <c r="BP15" i="67"/>
  <c r="BO15" i="67"/>
  <c r="BN15" i="67"/>
  <c r="BM15" i="67"/>
  <c r="BL15" i="67"/>
  <c r="BK15" i="67"/>
  <c r="BJ15" i="67"/>
  <c r="BI15" i="67"/>
  <c r="BH15" i="67"/>
  <c r="BG15" i="67"/>
  <c r="BF15" i="67"/>
  <c r="BE15" i="67"/>
  <c r="BD15" i="67"/>
  <c r="BC15" i="67"/>
  <c r="BB15" i="67"/>
  <c r="BA15" i="67"/>
  <c r="AZ15" i="67"/>
  <c r="AY15" i="67"/>
  <c r="AX15" i="67"/>
  <c r="AW15" i="67"/>
  <c r="AV15" i="67"/>
  <c r="AU15" i="67"/>
  <c r="AG15" i="67"/>
  <c r="AE15" i="67"/>
  <c r="AC15" i="67"/>
  <c r="AB15" i="67"/>
  <c r="AA15" i="67"/>
  <c r="Z15" i="67"/>
  <c r="X15" i="67"/>
  <c r="W15" i="67"/>
  <c r="V15" i="67"/>
  <c r="U15" i="67"/>
  <c r="T15" i="67"/>
  <c r="S15" i="67"/>
  <c r="R15" i="67"/>
  <c r="Q15" i="67"/>
  <c r="J15" i="67"/>
  <c r="F15" i="67"/>
  <c r="BT14" i="67"/>
  <c r="BS14" i="67"/>
  <c r="BR14" i="67"/>
  <c r="BQ14" i="67"/>
  <c r="BP14" i="67"/>
  <c r="BO14" i="67"/>
  <c r="BN14" i="67"/>
  <c r="BM14" i="67"/>
  <c r="BL14" i="67"/>
  <c r="BK14" i="67"/>
  <c r="BJ14" i="67"/>
  <c r="BI14" i="67"/>
  <c r="BH14" i="67"/>
  <c r="BG14" i="67"/>
  <c r="BF14" i="67"/>
  <c r="BE14" i="67"/>
  <c r="BD14" i="67"/>
  <c r="BC14" i="67"/>
  <c r="BB14" i="67"/>
  <c r="BA14" i="67"/>
  <c r="AZ14" i="67"/>
  <c r="AY14" i="67"/>
  <c r="AX14" i="67"/>
  <c r="AW14" i="67"/>
  <c r="AV14" i="67"/>
  <c r="AU14" i="67"/>
  <c r="AG14" i="67"/>
  <c r="AE14" i="67"/>
  <c r="AC14" i="67"/>
  <c r="AB14" i="67"/>
  <c r="AA14" i="67"/>
  <c r="Z14" i="67"/>
  <c r="X14" i="67"/>
  <c r="W14" i="67"/>
  <c r="V14" i="67"/>
  <c r="U14" i="67"/>
  <c r="T14" i="67"/>
  <c r="S14" i="67"/>
  <c r="R14" i="67"/>
  <c r="Q14" i="67"/>
  <c r="J14" i="67"/>
  <c r="F14" i="67"/>
  <c r="BT13" i="67"/>
  <c r="BS13" i="67"/>
  <c r="BR13" i="67"/>
  <c r="BQ13" i="67"/>
  <c r="BP13" i="67"/>
  <c r="BO13" i="67"/>
  <c r="BN13" i="67"/>
  <c r="BM13" i="67"/>
  <c r="BL13" i="67"/>
  <c r="BK13" i="67"/>
  <c r="BJ13" i="67"/>
  <c r="BI13" i="67"/>
  <c r="BH13" i="67"/>
  <c r="BG13" i="67"/>
  <c r="BF13" i="67"/>
  <c r="BE13" i="67"/>
  <c r="BD13" i="67"/>
  <c r="BC13" i="67"/>
  <c r="BB13" i="67"/>
  <c r="BA13" i="67"/>
  <c r="AZ13" i="67"/>
  <c r="AY13" i="67"/>
  <c r="AX13" i="67"/>
  <c r="AW13" i="67"/>
  <c r="AV13" i="67"/>
  <c r="AU13" i="67"/>
  <c r="AG13" i="67"/>
  <c r="AE13" i="67"/>
  <c r="AC13" i="67"/>
  <c r="AB13" i="67"/>
  <c r="AA13" i="67"/>
  <c r="Z13" i="67"/>
  <c r="X13" i="67"/>
  <c r="W13" i="67"/>
  <c r="V13" i="67"/>
  <c r="U13" i="67"/>
  <c r="T13" i="67"/>
  <c r="S13" i="67"/>
  <c r="R13" i="67"/>
  <c r="Q13" i="67"/>
  <c r="J13" i="67"/>
  <c r="F13" i="67"/>
  <c r="BT12" i="67"/>
  <c r="BS12" i="67"/>
  <c r="BR12" i="67"/>
  <c r="BQ12" i="67"/>
  <c r="BP12" i="67"/>
  <c r="BO12" i="67"/>
  <c r="BN12" i="67"/>
  <c r="BM12" i="67"/>
  <c r="BL12" i="67"/>
  <c r="BK12" i="67"/>
  <c r="BJ12" i="67"/>
  <c r="BI12" i="67"/>
  <c r="BH12" i="67"/>
  <c r="BG12" i="67"/>
  <c r="BF12" i="67"/>
  <c r="BE12" i="67"/>
  <c r="BD12" i="67"/>
  <c r="BC12" i="67"/>
  <c r="BB12" i="67"/>
  <c r="BA12" i="67"/>
  <c r="AZ12" i="67"/>
  <c r="AY12" i="67"/>
  <c r="AX12" i="67"/>
  <c r="AW12" i="67"/>
  <c r="AV12" i="67"/>
  <c r="AU12" i="67"/>
  <c r="AG12" i="67"/>
  <c r="AE12" i="67"/>
  <c r="AC12" i="67"/>
  <c r="AB12" i="67"/>
  <c r="AA12" i="67"/>
  <c r="Z12" i="67"/>
  <c r="X12" i="67"/>
  <c r="W12" i="67"/>
  <c r="V12" i="67"/>
  <c r="U12" i="67"/>
  <c r="T12" i="67"/>
  <c r="S12" i="67"/>
  <c r="R12" i="67"/>
  <c r="Q12" i="67"/>
  <c r="J12" i="67"/>
  <c r="F12" i="67"/>
  <c r="BT11" i="67"/>
  <c r="BS11" i="67"/>
  <c r="BR11" i="67"/>
  <c r="BQ11" i="67"/>
  <c r="BP11" i="67"/>
  <c r="BO11" i="67"/>
  <c r="BN11" i="67"/>
  <c r="BM11" i="67"/>
  <c r="BL11" i="67"/>
  <c r="BK11" i="67"/>
  <c r="BJ11" i="67"/>
  <c r="BI11" i="67"/>
  <c r="BH11" i="67"/>
  <c r="BG11" i="67"/>
  <c r="BF11" i="67"/>
  <c r="BE11" i="67"/>
  <c r="BD11" i="67"/>
  <c r="BC11" i="67"/>
  <c r="BB11" i="67"/>
  <c r="BA11" i="67"/>
  <c r="AZ11" i="67"/>
  <c r="AY11" i="67"/>
  <c r="AX11" i="67"/>
  <c r="AW11" i="67"/>
  <c r="AV11" i="67"/>
  <c r="AU11" i="67"/>
  <c r="N11" i="67" s="1"/>
  <c r="P11" i="67" s="1"/>
  <c r="Y11" i="67" s="1"/>
  <c r="AG11" i="67"/>
  <c r="AE11" i="67"/>
  <c r="AC11" i="67"/>
  <c r="AB11" i="67"/>
  <c r="AA11" i="67"/>
  <c r="Z11" i="67"/>
  <c r="X11" i="67"/>
  <c r="W11" i="67"/>
  <c r="V11" i="67"/>
  <c r="U11" i="67"/>
  <c r="T11" i="67"/>
  <c r="S11" i="67"/>
  <c r="R11" i="67"/>
  <c r="Q11" i="67"/>
  <c r="J11" i="67"/>
  <c r="F11" i="67"/>
  <c r="BT10" i="67"/>
  <c r="BS10" i="67"/>
  <c r="BR10" i="67"/>
  <c r="BQ10" i="67"/>
  <c r="BP10" i="67"/>
  <c r="BO10" i="67"/>
  <c r="BN10" i="67"/>
  <c r="BM10" i="67"/>
  <c r="BL10" i="67"/>
  <c r="BK10" i="67"/>
  <c r="BJ10" i="67"/>
  <c r="BI10" i="67"/>
  <c r="BH10" i="67"/>
  <c r="BG10" i="67"/>
  <c r="BF10" i="67"/>
  <c r="BE10" i="67"/>
  <c r="BD10" i="67"/>
  <c r="BC10" i="67"/>
  <c r="BB10" i="67"/>
  <c r="BA10" i="67"/>
  <c r="AZ10" i="67"/>
  <c r="AY10" i="67"/>
  <c r="AX10" i="67"/>
  <c r="AW10" i="67"/>
  <c r="AV10" i="67"/>
  <c r="AU10" i="67"/>
  <c r="AG10" i="67"/>
  <c r="AE10" i="67"/>
  <c r="AC10" i="67"/>
  <c r="AB10" i="67"/>
  <c r="AA10" i="67"/>
  <c r="Z10" i="67"/>
  <c r="X10" i="67"/>
  <c r="W10" i="67"/>
  <c r="V10" i="67"/>
  <c r="U10" i="67"/>
  <c r="T10" i="67"/>
  <c r="S10" i="67"/>
  <c r="R10" i="67"/>
  <c r="Q10" i="67"/>
  <c r="J10" i="67"/>
  <c r="F10" i="67"/>
  <c r="BT9" i="67"/>
  <c r="BS9" i="67"/>
  <c r="BR9" i="67"/>
  <c r="BQ9" i="67"/>
  <c r="BP9" i="67"/>
  <c r="BO9" i="67"/>
  <c r="BN9" i="67"/>
  <c r="BM9" i="67"/>
  <c r="BL9" i="67"/>
  <c r="BK9" i="67"/>
  <c r="BJ9" i="67"/>
  <c r="BI9" i="67"/>
  <c r="BH9" i="67"/>
  <c r="BG9" i="67"/>
  <c r="BF9" i="67"/>
  <c r="BE9" i="67"/>
  <c r="BD9" i="67"/>
  <c r="BC9" i="67"/>
  <c r="BB9" i="67"/>
  <c r="BA9" i="67"/>
  <c r="AZ9" i="67"/>
  <c r="AY9" i="67"/>
  <c r="AX9" i="67"/>
  <c r="AW9" i="67"/>
  <c r="AV9" i="67"/>
  <c r="AU9" i="67"/>
  <c r="N9" i="67" s="1"/>
  <c r="P9" i="67" s="1"/>
  <c r="Y9" i="67" s="1"/>
  <c r="AG9" i="67"/>
  <c r="AE9" i="67"/>
  <c r="AC9" i="67"/>
  <c r="AB9" i="67"/>
  <c r="AA9" i="67"/>
  <c r="Z9" i="67"/>
  <c r="X9" i="67"/>
  <c r="W9" i="67"/>
  <c r="V9" i="67"/>
  <c r="U9" i="67"/>
  <c r="T9" i="67"/>
  <c r="S9" i="67"/>
  <c r="R9" i="67"/>
  <c r="Q9" i="67"/>
  <c r="J9" i="67"/>
  <c r="F9" i="67"/>
  <c r="BT8" i="67"/>
  <c r="BS8" i="67"/>
  <c r="BR8" i="67"/>
  <c r="BQ8" i="67"/>
  <c r="BP8" i="67"/>
  <c r="BO8" i="67"/>
  <c r="BN8" i="67"/>
  <c r="BM8" i="67"/>
  <c r="BL8" i="67"/>
  <c r="BK8" i="67"/>
  <c r="BJ8" i="67"/>
  <c r="BI8" i="67"/>
  <c r="BH8" i="67"/>
  <c r="BG8" i="67"/>
  <c r="BF8" i="67"/>
  <c r="BE8" i="67"/>
  <c r="BD8" i="67"/>
  <c r="BC8" i="67"/>
  <c r="BB8" i="67"/>
  <c r="BA8" i="67"/>
  <c r="AZ8" i="67"/>
  <c r="AY8" i="67"/>
  <c r="AX8" i="67"/>
  <c r="AW8" i="67"/>
  <c r="AV8" i="67"/>
  <c r="AU8" i="67"/>
  <c r="AG8" i="67"/>
  <c r="AE8" i="67"/>
  <c r="AC8" i="67"/>
  <c r="AB8" i="67"/>
  <c r="AA8" i="67"/>
  <c r="Z8" i="67"/>
  <c r="X8" i="67"/>
  <c r="W8" i="67"/>
  <c r="V8" i="67"/>
  <c r="U8" i="67"/>
  <c r="T8" i="67"/>
  <c r="S8" i="67"/>
  <c r="R8" i="67"/>
  <c r="Q8" i="67"/>
  <c r="J8" i="67"/>
  <c r="F8" i="67"/>
  <c r="G39" i="27" l="1"/>
  <c r="J39" i="27" s="1"/>
  <c r="L231" i="67"/>
  <c r="M231" i="67"/>
  <c r="L215" i="67"/>
  <c r="M215" i="67"/>
  <c r="H157" i="67"/>
  <c r="H161" i="67"/>
  <c r="H165" i="67"/>
  <c r="H169" i="67"/>
  <c r="H173" i="67"/>
  <c r="H177" i="67"/>
  <c r="H181" i="67"/>
  <c r="H185" i="67"/>
  <c r="H121" i="67"/>
  <c r="H125" i="67"/>
  <c r="H129" i="67"/>
  <c r="H133" i="67"/>
  <c r="H137" i="67"/>
  <c r="H141" i="67"/>
  <c r="H188" i="67"/>
  <c r="H192" i="67"/>
  <c r="H216" i="67"/>
  <c r="H189" i="67"/>
  <c r="H193" i="67"/>
  <c r="H197" i="67"/>
  <c r="H201" i="67"/>
  <c r="H205" i="67"/>
  <c r="H213" i="67"/>
  <c r="H217" i="67"/>
  <c r="H220" i="67"/>
  <c r="AF284" i="67"/>
  <c r="AE284" i="67"/>
  <c r="H154" i="67"/>
  <c r="H158" i="67"/>
  <c r="H162" i="67"/>
  <c r="H166" i="67"/>
  <c r="H170" i="67"/>
  <c r="H174" i="67"/>
  <c r="H178" i="67"/>
  <c r="H182" i="67"/>
  <c r="H122" i="67"/>
  <c r="H126" i="67"/>
  <c r="H130" i="67"/>
  <c r="H134" i="67"/>
  <c r="H138" i="67"/>
  <c r="H142" i="67"/>
  <c r="H146" i="67"/>
  <c r="H150" i="67"/>
  <c r="K281" i="67"/>
  <c r="AF281" i="67" s="1"/>
  <c r="AE282" i="67"/>
  <c r="K291" i="67"/>
  <c r="K295" i="67"/>
  <c r="H310" i="67"/>
  <c r="H332" i="67" s="1"/>
  <c r="H334" i="67" s="1"/>
  <c r="H336" i="67" s="1"/>
  <c r="H317" i="67"/>
  <c r="H318" i="67"/>
  <c r="H325" i="67"/>
  <c r="H326" i="67"/>
  <c r="D429" i="67"/>
  <c r="H429" i="67" s="1"/>
  <c r="K50" i="67"/>
  <c r="AF50" i="67" s="1"/>
  <c r="K67" i="67"/>
  <c r="AF67" i="67" s="1"/>
  <c r="K275" i="67"/>
  <c r="AF275" i="67" s="1"/>
  <c r="K285" i="67"/>
  <c r="K293" i="67"/>
  <c r="K301" i="67"/>
  <c r="H312" i="67"/>
  <c r="H319" i="67"/>
  <c r="H320" i="67"/>
  <c r="H327" i="67"/>
  <c r="H328" i="67"/>
  <c r="H331" i="67"/>
  <c r="W367" i="67"/>
  <c r="Z367" i="67"/>
  <c r="D462" i="67"/>
  <c r="H462" i="67" s="1"/>
  <c r="H120" i="67"/>
  <c r="K277" i="67"/>
  <c r="K287" i="67"/>
  <c r="AE287" i="67" s="1"/>
  <c r="K299" i="67"/>
  <c r="H309" i="67"/>
  <c r="H313" i="67"/>
  <c r="H314" i="67"/>
  <c r="H321" i="67"/>
  <c r="H322" i="67"/>
  <c r="H329" i="67"/>
  <c r="H330" i="67"/>
  <c r="Y367" i="67"/>
  <c r="AB367" i="67"/>
  <c r="Q367" i="67"/>
  <c r="K43" i="67"/>
  <c r="AF43" i="67" s="1"/>
  <c r="K48" i="67"/>
  <c r="AF48" i="67" s="1"/>
  <c r="J31" i="1"/>
  <c r="L31" i="1" s="1"/>
  <c r="J32" i="1"/>
  <c r="L32" i="1" s="1"/>
  <c r="P239" i="67"/>
  <c r="P240" i="67" s="1"/>
  <c r="M205" i="67"/>
  <c r="M189" i="67"/>
  <c r="L192" i="67"/>
  <c r="M196" i="67"/>
  <c r="M213" i="67"/>
  <c r="M221" i="67"/>
  <c r="M229" i="67"/>
  <c r="M237" i="67"/>
  <c r="K38" i="67"/>
  <c r="AF38" i="67" s="1"/>
  <c r="N102" i="67"/>
  <c r="P102" i="67" s="1"/>
  <c r="Y102" i="67" s="1"/>
  <c r="N110" i="67"/>
  <c r="P110" i="67" s="1"/>
  <c r="N239" i="67"/>
  <c r="L120" i="67"/>
  <c r="L121" i="67"/>
  <c r="L122" i="67"/>
  <c r="L123" i="67"/>
  <c r="L124" i="67"/>
  <c r="L125" i="67"/>
  <c r="L126" i="67"/>
  <c r="L127" i="67"/>
  <c r="L128" i="67"/>
  <c r="L129" i="67"/>
  <c r="L130" i="67"/>
  <c r="L131" i="67"/>
  <c r="L132" i="67"/>
  <c r="L133" i="67"/>
  <c r="L134" i="67"/>
  <c r="L135" i="67"/>
  <c r="L136" i="67"/>
  <c r="L137" i="67"/>
  <c r="L138" i="67"/>
  <c r="L139" i="67"/>
  <c r="L140" i="67"/>
  <c r="L141" i="67"/>
  <c r="L142" i="67"/>
  <c r="L143" i="67"/>
  <c r="L144" i="67"/>
  <c r="L145" i="67"/>
  <c r="L146" i="67"/>
  <c r="L147" i="67"/>
  <c r="L148" i="67"/>
  <c r="L149" i="67"/>
  <c r="L150" i="67"/>
  <c r="L151" i="67"/>
  <c r="L152" i="67"/>
  <c r="L153" i="67"/>
  <c r="K12" i="67"/>
  <c r="AF12" i="67" s="1"/>
  <c r="N77" i="67"/>
  <c r="P77" i="67" s="1"/>
  <c r="Z77" i="67" s="1"/>
  <c r="N87" i="67"/>
  <c r="P87" i="67" s="1"/>
  <c r="N91" i="67"/>
  <c r="P91" i="67" s="1"/>
  <c r="S91" i="67" s="1"/>
  <c r="M217" i="67"/>
  <c r="M225" i="67"/>
  <c r="M233" i="67"/>
  <c r="N44" i="67"/>
  <c r="P44" i="67" s="1"/>
  <c r="K47" i="67"/>
  <c r="AF47" i="67" s="1"/>
  <c r="K49" i="67"/>
  <c r="AF49" i="67" s="1"/>
  <c r="N49" i="67"/>
  <c r="P49" i="67" s="1"/>
  <c r="R49" i="67" s="1"/>
  <c r="K54" i="67"/>
  <c r="AF54" i="67" s="1"/>
  <c r="K60" i="67"/>
  <c r="AF60" i="67" s="1"/>
  <c r="N60" i="67"/>
  <c r="P60" i="67" s="1"/>
  <c r="K19" i="67"/>
  <c r="AF19" i="67" s="1"/>
  <c r="N76" i="67"/>
  <c r="P76" i="67" s="1"/>
  <c r="N78" i="67"/>
  <c r="P78" i="67" s="1"/>
  <c r="S78" i="67" s="1"/>
  <c r="K105" i="67"/>
  <c r="AF105" i="67" s="1"/>
  <c r="M214" i="67"/>
  <c r="M216" i="67"/>
  <c r="M218" i="67"/>
  <c r="M220" i="67"/>
  <c r="M222" i="67"/>
  <c r="M224" i="67"/>
  <c r="H224" i="67"/>
  <c r="M226" i="67"/>
  <c r="H226" i="67"/>
  <c r="M228" i="67"/>
  <c r="H228" i="67"/>
  <c r="M230" i="67"/>
  <c r="H230" i="67"/>
  <c r="M232" i="67"/>
  <c r="H232" i="67"/>
  <c r="M234" i="67"/>
  <c r="H234" i="67"/>
  <c r="M236" i="67"/>
  <c r="H236" i="67"/>
  <c r="M238" i="67"/>
  <c r="H238" i="67"/>
  <c r="N278" i="67"/>
  <c r="P278" i="67" s="1"/>
  <c r="Q278" i="67" s="1"/>
  <c r="N282" i="67"/>
  <c r="P282" i="67" s="1"/>
  <c r="N30" i="67"/>
  <c r="P30" i="67" s="1"/>
  <c r="S30" i="67" s="1"/>
  <c r="N31" i="67"/>
  <c r="P31" i="67" s="1"/>
  <c r="R31" i="67" s="1"/>
  <c r="K33" i="67"/>
  <c r="AF33" i="67" s="1"/>
  <c r="N48" i="67"/>
  <c r="P48" i="67" s="1"/>
  <c r="N52" i="67"/>
  <c r="P52" i="67" s="1"/>
  <c r="W52" i="67" s="1"/>
  <c r="N56" i="67"/>
  <c r="P56" i="67" s="1"/>
  <c r="K58" i="67"/>
  <c r="AF58" i="67" s="1"/>
  <c r="K63" i="67"/>
  <c r="AF63" i="67" s="1"/>
  <c r="N68" i="67"/>
  <c r="P68" i="67" s="1"/>
  <c r="K14" i="67"/>
  <c r="AF14" i="67" s="1"/>
  <c r="K16" i="67"/>
  <c r="AF16" i="67" s="1"/>
  <c r="N69" i="67"/>
  <c r="P69" i="67" s="1"/>
  <c r="K99" i="67"/>
  <c r="AF99" i="67" s="1"/>
  <c r="H119" i="67"/>
  <c r="N275" i="67"/>
  <c r="P275" i="67" s="1"/>
  <c r="Q275" i="67" s="1"/>
  <c r="N287" i="67"/>
  <c r="P287" i="67" s="1"/>
  <c r="Q287" i="67" s="1"/>
  <c r="N290" i="67"/>
  <c r="P290" i="67" s="1"/>
  <c r="Q290" i="67" s="1"/>
  <c r="N293" i="67"/>
  <c r="P293" i="67" s="1"/>
  <c r="N294" i="67"/>
  <c r="P294" i="67" s="1"/>
  <c r="N301" i="67"/>
  <c r="P301" i="67" s="1"/>
  <c r="N302" i="67"/>
  <c r="P302" i="67" s="1"/>
  <c r="K27" i="67"/>
  <c r="AF27" i="67" s="1"/>
  <c r="K29" i="67"/>
  <c r="AF29" i="67" s="1"/>
  <c r="K36" i="67"/>
  <c r="AF36" i="67" s="1"/>
  <c r="K40" i="67"/>
  <c r="AF40" i="67" s="1"/>
  <c r="K41" i="67"/>
  <c r="AF41" i="67" s="1"/>
  <c r="K46" i="67"/>
  <c r="AF46" i="67" s="1"/>
  <c r="K55" i="67"/>
  <c r="AF55" i="67" s="1"/>
  <c r="N55" i="67"/>
  <c r="P55" i="67" s="1"/>
  <c r="W55" i="67" s="1"/>
  <c r="K57" i="67"/>
  <c r="AF57" i="67" s="1"/>
  <c r="K62" i="67"/>
  <c r="AF62" i="67" s="1"/>
  <c r="K66" i="67"/>
  <c r="AF66" i="67" s="1"/>
  <c r="K68" i="67"/>
  <c r="AF68" i="67" s="1"/>
  <c r="L154" i="67"/>
  <c r="L155" i="67"/>
  <c r="L156" i="67"/>
  <c r="L157" i="67"/>
  <c r="L158" i="67"/>
  <c r="L159" i="67"/>
  <c r="L160" i="67"/>
  <c r="L161" i="67"/>
  <c r="L162" i="67"/>
  <c r="L163" i="67"/>
  <c r="L164" i="67"/>
  <c r="L165" i="67"/>
  <c r="L166" i="67"/>
  <c r="L167" i="67"/>
  <c r="L168" i="67"/>
  <c r="L169" i="67"/>
  <c r="L170" i="67"/>
  <c r="L171" i="67"/>
  <c r="L172" i="67"/>
  <c r="L173" i="67"/>
  <c r="L174" i="67"/>
  <c r="L175" i="67"/>
  <c r="L176" i="67"/>
  <c r="L177" i="67"/>
  <c r="L178" i="67"/>
  <c r="L179" i="67"/>
  <c r="L180" i="67"/>
  <c r="L181" i="67"/>
  <c r="L182" i="67"/>
  <c r="L183" i="67"/>
  <c r="L184" i="67"/>
  <c r="L185" i="67"/>
  <c r="L186" i="67"/>
  <c r="L187" i="67"/>
  <c r="K20" i="67"/>
  <c r="AF20" i="67" s="1"/>
  <c r="N73" i="67"/>
  <c r="P73" i="67" s="1"/>
  <c r="R73" i="67" s="1"/>
  <c r="N106" i="67"/>
  <c r="P106" i="67" s="1"/>
  <c r="K107" i="67"/>
  <c r="AF107" i="67" s="1"/>
  <c r="N112" i="67"/>
  <c r="P112" i="67" s="1"/>
  <c r="H223" i="67"/>
  <c r="H225" i="67"/>
  <c r="H227" i="67"/>
  <c r="H229" i="67"/>
  <c r="H231" i="67"/>
  <c r="H233" i="67"/>
  <c r="H235" i="67"/>
  <c r="H237" i="67"/>
  <c r="N28" i="67"/>
  <c r="P28" i="67" s="1"/>
  <c r="S28" i="67" s="1"/>
  <c r="N38" i="67"/>
  <c r="P38" i="67" s="1"/>
  <c r="N41" i="67"/>
  <c r="P41" i="67" s="1"/>
  <c r="R41" i="67" s="1"/>
  <c r="N54" i="67"/>
  <c r="P54" i="67" s="1"/>
  <c r="W54" i="67" s="1"/>
  <c r="K56" i="67"/>
  <c r="AF56" i="67" s="1"/>
  <c r="K61" i="67"/>
  <c r="AF61" i="67" s="1"/>
  <c r="N64" i="67"/>
  <c r="P64" i="67" s="1"/>
  <c r="N65" i="67"/>
  <c r="P65" i="67" s="1"/>
  <c r="S38" i="67"/>
  <c r="U38" i="67"/>
  <c r="S69" i="67"/>
  <c r="T69" i="67"/>
  <c r="N23" i="67"/>
  <c r="P23" i="67" s="1"/>
  <c r="N26" i="67"/>
  <c r="P26" i="67" s="1"/>
  <c r="Z26" i="67" s="1"/>
  <c r="N70" i="67"/>
  <c r="P70" i="67" s="1"/>
  <c r="N98" i="67"/>
  <c r="P98" i="67" s="1"/>
  <c r="N33" i="67"/>
  <c r="P33" i="67" s="1"/>
  <c r="N34" i="67"/>
  <c r="P34" i="67" s="1"/>
  <c r="Z34" i="67" s="1"/>
  <c r="N42" i="67"/>
  <c r="P42" i="67" s="1"/>
  <c r="R42" i="67" s="1"/>
  <c r="N43" i="67"/>
  <c r="P43" i="67" s="1"/>
  <c r="S43" i="67" s="1"/>
  <c r="N53" i="67"/>
  <c r="P53" i="67" s="1"/>
  <c r="W53" i="67" s="1"/>
  <c r="N58" i="67"/>
  <c r="P58" i="67" s="1"/>
  <c r="N59" i="67"/>
  <c r="P59" i="67" s="1"/>
  <c r="N13" i="67"/>
  <c r="P13" i="67" s="1"/>
  <c r="Y13" i="67" s="1"/>
  <c r="N16" i="67"/>
  <c r="P16" i="67" s="1"/>
  <c r="Z16" i="67" s="1"/>
  <c r="N19" i="67"/>
  <c r="P19" i="67" s="1"/>
  <c r="Z19" i="67" s="1"/>
  <c r="N95" i="67"/>
  <c r="P95" i="67" s="1"/>
  <c r="N96" i="67"/>
  <c r="P96" i="67" s="1"/>
  <c r="R96" i="67" s="1"/>
  <c r="N32" i="67"/>
  <c r="P32" i="67" s="1"/>
  <c r="N37" i="67"/>
  <c r="P37" i="67" s="1"/>
  <c r="S37" i="67" s="1"/>
  <c r="N39" i="67"/>
  <c r="P39" i="67" s="1"/>
  <c r="N46" i="67"/>
  <c r="P46" i="67" s="1"/>
  <c r="V46" i="67" s="1"/>
  <c r="N47" i="67"/>
  <c r="P47" i="67" s="1"/>
  <c r="V47" i="67" s="1"/>
  <c r="N57" i="67"/>
  <c r="P57" i="67" s="1"/>
  <c r="N62" i="67"/>
  <c r="P62" i="67" s="1"/>
  <c r="N63" i="67"/>
  <c r="P63" i="67" s="1"/>
  <c r="N81" i="67"/>
  <c r="P81" i="67" s="1"/>
  <c r="S81" i="67" s="1"/>
  <c r="N83" i="67"/>
  <c r="P83" i="67" s="1"/>
  <c r="N90" i="67"/>
  <c r="P90" i="67" s="1"/>
  <c r="N29" i="67"/>
  <c r="P29" i="67" s="1"/>
  <c r="S29" i="67" s="1"/>
  <c r="N36" i="67"/>
  <c r="P36" i="67" s="1"/>
  <c r="S36" i="67" s="1"/>
  <c r="N40" i="67"/>
  <c r="P40" i="67" s="1"/>
  <c r="S40" i="67" s="1"/>
  <c r="N45" i="67"/>
  <c r="P45" i="67" s="1"/>
  <c r="V45" i="67" s="1"/>
  <c r="N50" i="67"/>
  <c r="P50" i="67" s="1"/>
  <c r="N51" i="67"/>
  <c r="P51" i="67" s="1"/>
  <c r="W51" i="67" s="1"/>
  <c r="N61" i="67"/>
  <c r="P61" i="67" s="1"/>
  <c r="N66" i="67"/>
  <c r="P66" i="67" s="1"/>
  <c r="N67" i="67"/>
  <c r="P67" i="67" s="1"/>
  <c r="S67" i="67" s="1"/>
  <c r="K11" i="67"/>
  <c r="AF11" i="67" s="1"/>
  <c r="K24" i="67"/>
  <c r="AF24" i="67" s="1"/>
  <c r="K85" i="67"/>
  <c r="AF85" i="67" s="1"/>
  <c r="K103" i="67"/>
  <c r="AF103" i="67" s="1"/>
  <c r="K35" i="67"/>
  <c r="AF35" i="67" s="1"/>
  <c r="K13" i="67"/>
  <c r="AF13" i="67" s="1"/>
  <c r="K21" i="67"/>
  <c r="AF21" i="67" s="1"/>
  <c r="K84" i="67"/>
  <c r="AF84" i="67" s="1"/>
  <c r="K88" i="67"/>
  <c r="AF88" i="67" s="1"/>
  <c r="K93" i="67"/>
  <c r="AF93" i="67" s="1"/>
  <c r="K97" i="67"/>
  <c r="AF97" i="67" s="1"/>
  <c r="K34" i="67"/>
  <c r="AF34" i="67" s="1"/>
  <c r="K52" i="67"/>
  <c r="AF52" i="67" s="1"/>
  <c r="K53" i="67"/>
  <c r="AF53" i="67" s="1"/>
  <c r="K59" i="67"/>
  <c r="AF59" i="67" s="1"/>
  <c r="K18" i="67"/>
  <c r="AF18" i="67" s="1"/>
  <c r="K73" i="67"/>
  <c r="AF73" i="67" s="1"/>
  <c r="K75" i="67"/>
  <c r="AF75" i="67" s="1"/>
  <c r="K78" i="67"/>
  <c r="AF78" i="67" s="1"/>
  <c r="K80" i="67"/>
  <c r="AF80" i="67" s="1"/>
  <c r="K91" i="67"/>
  <c r="AF91" i="67" s="1"/>
  <c r="K30" i="67"/>
  <c r="AF30" i="67" s="1"/>
  <c r="K31" i="67"/>
  <c r="AF31" i="67" s="1"/>
  <c r="K39" i="67"/>
  <c r="AF39" i="67" s="1"/>
  <c r="K44" i="67"/>
  <c r="AF44" i="67" s="1"/>
  <c r="K45" i="67"/>
  <c r="AF45" i="67" s="1"/>
  <c r="K51" i="67"/>
  <c r="AF51" i="67" s="1"/>
  <c r="K64" i="67"/>
  <c r="AF64" i="67" s="1"/>
  <c r="K65" i="67"/>
  <c r="AF65" i="67" s="1"/>
  <c r="K89" i="67"/>
  <c r="AF89" i="67" s="1"/>
  <c r="K32" i="67"/>
  <c r="AF32" i="67" s="1"/>
  <c r="K87" i="67"/>
  <c r="AF87" i="67" s="1"/>
  <c r="K8" i="67"/>
  <c r="AF8" i="67" s="1"/>
  <c r="N8" i="67"/>
  <c r="P8" i="67" s="1"/>
  <c r="Y8" i="67" s="1"/>
  <c r="N10" i="67"/>
  <c r="P10" i="67" s="1"/>
  <c r="Y10" i="67" s="1"/>
  <c r="N17" i="67"/>
  <c r="P17" i="67" s="1"/>
  <c r="R17" i="67" s="1"/>
  <c r="S303" i="67"/>
  <c r="S305" i="67" s="1"/>
  <c r="W303" i="67"/>
  <c r="W305" i="67" s="1"/>
  <c r="AA303" i="67"/>
  <c r="AA305" i="67" s="1"/>
  <c r="N35" i="67"/>
  <c r="P35" i="67" s="1"/>
  <c r="Z35" i="67" s="1"/>
  <c r="BH113" i="67"/>
  <c r="Q114" i="67" s="1"/>
  <c r="BT113" i="67"/>
  <c r="AC114" i="67" s="1"/>
  <c r="BL113" i="67"/>
  <c r="U114" i="67" s="1"/>
  <c r="BP113" i="67"/>
  <c r="Y114" i="67" s="1"/>
  <c r="AE113" i="67"/>
  <c r="K9" i="67"/>
  <c r="AF9" i="67" s="1"/>
  <c r="N12" i="67"/>
  <c r="P12" i="67" s="1"/>
  <c r="Y12" i="67" s="1"/>
  <c r="N14" i="67"/>
  <c r="P14" i="67" s="1"/>
  <c r="Y14" i="67" s="1"/>
  <c r="N27" i="67"/>
  <c r="P27" i="67" s="1"/>
  <c r="K10" i="67"/>
  <c r="AF10" i="67" s="1"/>
  <c r="K15" i="67"/>
  <c r="AF15" i="67" s="1"/>
  <c r="N15" i="67"/>
  <c r="P15" i="67" s="1"/>
  <c r="Y15" i="67" s="1"/>
  <c r="K17" i="67"/>
  <c r="AF17" i="67" s="1"/>
  <c r="K22" i="67"/>
  <c r="AF22" i="67" s="1"/>
  <c r="N22" i="67"/>
  <c r="P22" i="67" s="1"/>
  <c r="R22" i="67" s="1"/>
  <c r="K25" i="67"/>
  <c r="AF25" i="67" s="1"/>
  <c r="N25" i="67"/>
  <c r="P25" i="67" s="1"/>
  <c r="V25" i="67" s="1"/>
  <c r="K70" i="67"/>
  <c r="AF70" i="67" s="1"/>
  <c r="K72" i="67"/>
  <c r="AF72" i="67" s="1"/>
  <c r="N75" i="67"/>
  <c r="P75" i="67" s="1"/>
  <c r="N80" i="67"/>
  <c r="P80" i="67" s="1"/>
  <c r="S80" i="67" s="1"/>
  <c r="N82" i="67"/>
  <c r="P82" i="67" s="1"/>
  <c r="K86" i="67"/>
  <c r="AF86" i="67" s="1"/>
  <c r="N86" i="67"/>
  <c r="P86" i="67" s="1"/>
  <c r="S86" i="67" s="1"/>
  <c r="N88" i="67"/>
  <c r="P88" i="67" s="1"/>
  <c r="Z88" i="67" s="1"/>
  <c r="N94" i="67"/>
  <c r="P94" i="67" s="1"/>
  <c r="Z94" i="67" s="1"/>
  <c r="N100" i="67"/>
  <c r="P100" i="67" s="1"/>
  <c r="S100" i="67" s="1"/>
  <c r="N103" i="67"/>
  <c r="P103" i="67" s="1"/>
  <c r="V103" i="67" s="1"/>
  <c r="N108" i="67"/>
  <c r="P108" i="67" s="1"/>
  <c r="BS303" i="67"/>
  <c r="AC304" i="67" s="1"/>
  <c r="N276" i="67"/>
  <c r="P276" i="67" s="1"/>
  <c r="Q276" i="67" s="1"/>
  <c r="N277" i="67"/>
  <c r="P277" i="67" s="1"/>
  <c r="Q277" i="67" s="1"/>
  <c r="N280" i="67"/>
  <c r="P280" i="67" s="1"/>
  <c r="Q280" i="67" s="1"/>
  <c r="N286" i="67"/>
  <c r="P286" i="67" s="1"/>
  <c r="Q286" i="67" s="1"/>
  <c r="N289" i="67"/>
  <c r="P289" i="67" s="1"/>
  <c r="Q289" i="67" s="1"/>
  <c r="N292" i="67"/>
  <c r="P292" i="67" s="1"/>
  <c r="Q292" i="67" s="1"/>
  <c r="N299" i="67"/>
  <c r="P299" i="67" s="1"/>
  <c r="N300" i="67"/>
  <c r="P300" i="67" s="1"/>
  <c r="N18" i="67"/>
  <c r="P18" i="67" s="1"/>
  <c r="N24" i="67"/>
  <c r="P24" i="67" s="1"/>
  <c r="S24" i="67" s="1"/>
  <c r="K69" i="67"/>
  <c r="AF69" i="67" s="1"/>
  <c r="N72" i="67"/>
  <c r="P72" i="67" s="1"/>
  <c r="Z72" i="67" s="1"/>
  <c r="N74" i="67"/>
  <c r="P74" i="67" s="1"/>
  <c r="K77" i="67"/>
  <c r="AF77" i="67" s="1"/>
  <c r="K82" i="67"/>
  <c r="AF82" i="67" s="1"/>
  <c r="N84" i="67"/>
  <c r="P84" i="67" s="1"/>
  <c r="S84" i="67" s="1"/>
  <c r="K92" i="67"/>
  <c r="AF92" i="67" s="1"/>
  <c r="N111" i="67"/>
  <c r="P111" i="67" s="1"/>
  <c r="N279" i="67"/>
  <c r="P279" i="67" s="1"/>
  <c r="Q279" i="67" s="1"/>
  <c r="N285" i="67"/>
  <c r="P285" i="67" s="1"/>
  <c r="Q285" i="67" s="1"/>
  <c r="N291" i="67"/>
  <c r="P291" i="67" s="1"/>
  <c r="Q291" i="67" s="1"/>
  <c r="N297" i="67"/>
  <c r="P297" i="67" s="1"/>
  <c r="N298" i="67"/>
  <c r="P298" i="67" s="1"/>
  <c r="N20" i="67"/>
  <c r="P20" i="67" s="1"/>
  <c r="N21" i="67"/>
  <c r="P21" i="67" s="1"/>
  <c r="Z21" i="67" s="1"/>
  <c r="K23" i="67"/>
  <c r="AF23" i="67" s="1"/>
  <c r="K26" i="67"/>
  <c r="AF26" i="67" s="1"/>
  <c r="K71" i="67"/>
  <c r="AF71" i="67" s="1"/>
  <c r="N71" i="67"/>
  <c r="P71" i="67" s="1"/>
  <c r="K74" i="67"/>
  <c r="AF74" i="67" s="1"/>
  <c r="K76" i="67"/>
  <c r="AF76" i="67" s="1"/>
  <c r="K79" i="67"/>
  <c r="AF79" i="67" s="1"/>
  <c r="N79" i="67"/>
  <c r="P79" i="67" s="1"/>
  <c r="S79" i="67" s="1"/>
  <c r="K81" i="67"/>
  <c r="AF81" i="67" s="1"/>
  <c r="K83" i="67"/>
  <c r="AF83" i="67" s="1"/>
  <c r="N92" i="67"/>
  <c r="P92" i="67" s="1"/>
  <c r="K95" i="67"/>
  <c r="AF95" i="67" s="1"/>
  <c r="K96" i="67"/>
  <c r="AF96" i="67" s="1"/>
  <c r="K101" i="67"/>
  <c r="AF101" i="67" s="1"/>
  <c r="N104" i="67"/>
  <c r="P104" i="67" s="1"/>
  <c r="N107" i="67"/>
  <c r="P107" i="67" s="1"/>
  <c r="K111" i="67"/>
  <c r="AF111" i="67" s="1"/>
  <c r="BI303" i="67"/>
  <c r="S304" i="67" s="1"/>
  <c r="BM303" i="67"/>
  <c r="W304" i="67" s="1"/>
  <c r="BQ303" i="67"/>
  <c r="AA304" i="67" s="1"/>
  <c r="N281" i="67"/>
  <c r="P281" i="67" s="1"/>
  <c r="Q281" i="67" s="1"/>
  <c r="N283" i="67"/>
  <c r="P283" i="67" s="1"/>
  <c r="Q283" i="67" s="1"/>
  <c r="N284" i="67"/>
  <c r="P284" i="67" s="1"/>
  <c r="Q284" i="67" s="1"/>
  <c r="N288" i="67"/>
  <c r="P288" i="67" s="1"/>
  <c r="Q288" i="67" s="1"/>
  <c r="N295" i="67"/>
  <c r="P295" i="67" s="1"/>
  <c r="N296" i="67"/>
  <c r="P296" i="67" s="1"/>
  <c r="K98" i="67"/>
  <c r="AF98" i="67" s="1"/>
  <c r="L188" i="67"/>
  <c r="M201" i="67"/>
  <c r="L204" i="67"/>
  <c r="M211" i="67"/>
  <c r="K94" i="67"/>
  <c r="AF94" i="67" s="1"/>
  <c r="M197" i="67"/>
  <c r="L200" i="67"/>
  <c r="M209" i="67"/>
  <c r="K90" i="67"/>
  <c r="AF90" i="67" s="1"/>
  <c r="K110" i="67"/>
  <c r="AF110" i="67" s="1"/>
  <c r="M193" i="67"/>
  <c r="M207" i="67"/>
  <c r="K106" i="67"/>
  <c r="AF106" i="67" s="1"/>
  <c r="L119" i="67"/>
  <c r="L191" i="67"/>
  <c r="L195" i="67"/>
  <c r="L199" i="67"/>
  <c r="L203" i="67"/>
  <c r="K102" i="67"/>
  <c r="AF102" i="67" s="1"/>
  <c r="L190" i="67"/>
  <c r="L194" i="67"/>
  <c r="L198" i="67"/>
  <c r="L202" i="67"/>
  <c r="M206" i="67"/>
  <c r="M208" i="67"/>
  <c r="M210" i="67"/>
  <c r="M212" i="67"/>
  <c r="AF283" i="67"/>
  <c r="AE283" i="67"/>
  <c r="AF291" i="67"/>
  <c r="AE291" i="67"/>
  <c r="AF295" i="67"/>
  <c r="AE295" i="67"/>
  <c r="AA113" i="67"/>
  <c r="AA115" i="67" s="1"/>
  <c r="BI113" i="67"/>
  <c r="R114" i="67" s="1"/>
  <c r="BM113" i="67"/>
  <c r="V114" i="67" s="1"/>
  <c r="BQ113" i="67"/>
  <c r="Z114" i="67" s="1"/>
  <c r="N85" i="67"/>
  <c r="P85" i="67" s="1"/>
  <c r="S85" i="67" s="1"/>
  <c r="N89" i="67"/>
  <c r="P89" i="67" s="1"/>
  <c r="Z89" i="67" s="1"/>
  <c r="N93" i="67"/>
  <c r="P93" i="67" s="1"/>
  <c r="Z93" i="67" s="1"/>
  <c r="N99" i="67"/>
  <c r="P99" i="67" s="1"/>
  <c r="S99" i="67" s="1"/>
  <c r="AE281" i="67"/>
  <c r="AF290" i="67"/>
  <c r="AE290" i="67"/>
  <c r="X113" i="67"/>
  <c r="X115" i="67" s="1"/>
  <c r="AB113" i="67"/>
  <c r="AB115" i="67" s="1"/>
  <c r="AG113" i="67"/>
  <c r="BJ113" i="67"/>
  <c r="S114" i="67" s="1"/>
  <c r="BN113" i="67"/>
  <c r="W114" i="67" s="1"/>
  <c r="BR113" i="67"/>
  <c r="AA114" i="67" s="1"/>
  <c r="K100" i="67"/>
  <c r="AF100" i="67" s="1"/>
  <c r="K104" i="67"/>
  <c r="AF104" i="67" s="1"/>
  <c r="K108" i="67"/>
  <c r="AF108" i="67" s="1"/>
  <c r="K112" i="67"/>
  <c r="AF112" i="67" s="1"/>
  <c r="AF276" i="67"/>
  <c r="AE276" i="67"/>
  <c r="AF280" i="67"/>
  <c r="AE280" i="67"/>
  <c r="Q113" i="67"/>
  <c r="AC113" i="67"/>
  <c r="AC115" i="67" s="1"/>
  <c r="BK113" i="67"/>
  <c r="T114" i="67" s="1"/>
  <c r="BO113" i="67"/>
  <c r="X114" i="67" s="1"/>
  <c r="BS113" i="67"/>
  <c r="AB114" i="67" s="1"/>
  <c r="N97" i="67"/>
  <c r="P97" i="67" s="1"/>
  <c r="R97" i="67" s="1"/>
  <c r="N101" i="67"/>
  <c r="P101" i="67" s="1"/>
  <c r="N105" i="67"/>
  <c r="P105" i="67" s="1"/>
  <c r="N109" i="67"/>
  <c r="P109" i="67" s="1"/>
  <c r="T303" i="67"/>
  <c r="T305" i="67" s="1"/>
  <c r="X303" i="67"/>
  <c r="X305" i="67" s="1"/>
  <c r="AB303" i="67"/>
  <c r="AB305" i="67" s="1"/>
  <c r="BJ303" i="67"/>
  <c r="T304" i="67" s="1"/>
  <c r="BN303" i="67"/>
  <c r="X304" i="67" s="1"/>
  <c r="BR303" i="67"/>
  <c r="AB304" i="67" s="1"/>
  <c r="AF277" i="67"/>
  <c r="AE277" i="67"/>
  <c r="AF279" i="67"/>
  <c r="AE279" i="67"/>
  <c r="AF289" i="67"/>
  <c r="AE289" i="67"/>
  <c r="AF293" i="67"/>
  <c r="AE293" i="67"/>
  <c r="AF301" i="67"/>
  <c r="AE301" i="67"/>
  <c r="H402" i="67"/>
  <c r="D404" i="67"/>
  <c r="H404" i="67" s="1"/>
  <c r="U303" i="67"/>
  <c r="U305" i="67" s="1"/>
  <c r="Y303" i="67"/>
  <c r="Y305" i="67" s="1"/>
  <c r="AC303" i="67"/>
  <c r="AC305" i="67" s="1"/>
  <c r="BG303" i="67"/>
  <c r="Q304" i="67" s="1"/>
  <c r="BK303" i="67"/>
  <c r="U304" i="67" s="1"/>
  <c r="BO303" i="67"/>
  <c r="Y304" i="67" s="1"/>
  <c r="AE278" i="67"/>
  <c r="AF287" i="67"/>
  <c r="AE288" i="67"/>
  <c r="AF299" i="67"/>
  <c r="AE299" i="67"/>
  <c r="L332" i="67"/>
  <c r="R303" i="67"/>
  <c r="R305" i="67" s="1"/>
  <c r="V303" i="67"/>
  <c r="V305" i="67" s="1"/>
  <c r="Z303" i="67"/>
  <c r="Z305" i="67" s="1"/>
  <c r="BH303" i="67"/>
  <c r="R304" i="67" s="1"/>
  <c r="BL303" i="67"/>
  <c r="V304" i="67" s="1"/>
  <c r="BP303" i="67"/>
  <c r="Z304" i="67" s="1"/>
  <c r="AF285" i="67"/>
  <c r="AE285" i="67"/>
  <c r="AE286" i="67"/>
  <c r="AF297" i="67"/>
  <c r="AE297" i="67"/>
  <c r="H468" i="67"/>
  <c r="D470" i="67"/>
  <c r="H470" i="67" s="1"/>
  <c r="AE292" i="67"/>
  <c r="AE294" i="67"/>
  <c r="AE296" i="67"/>
  <c r="AE298" i="67"/>
  <c r="AE300" i="67"/>
  <c r="AE302" i="67"/>
  <c r="D451" i="67"/>
  <c r="H451" i="67" s="1"/>
  <c r="S367" i="67"/>
  <c r="H431" i="67"/>
  <c r="H453" i="67" s="1"/>
  <c r="H455" i="67" s="1"/>
  <c r="J455" i="67" s="1"/>
  <c r="H435" i="67"/>
  <c r="U367" i="67"/>
  <c r="H381" i="67"/>
  <c r="H386" i="67" s="1"/>
  <c r="D418" i="67"/>
  <c r="H418" i="67" s="1"/>
  <c r="H420" i="67" s="1"/>
  <c r="H422" i="67" s="1"/>
  <c r="J422" i="67" s="1"/>
  <c r="BT32" i="62"/>
  <c r="BS32" i="62"/>
  <c r="BR32" i="62"/>
  <c r="BQ32" i="62"/>
  <c r="BP32" i="62"/>
  <c r="BO32" i="62"/>
  <c r="BN32" i="62"/>
  <c r="BM32" i="62"/>
  <c r="BL32" i="62"/>
  <c r="BK32" i="62"/>
  <c r="BJ32" i="62"/>
  <c r="BI32" i="62"/>
  <c r="BH32" i="62"/>
  <c r="BG32" i="62"/>
  <c r="BF32" i="62"/>
  <c r="BE32" i="62"/>
  <c r="BD32" i="62"/>
  <c r="BC32" i="62"/>
  <c r="BB32" i="62"/>
  <c r="BA32" i="62"/>
  <c r="AZ32" i="62"/>
  <c r="AY32" i="62"/>
  <c r="AX32" i="62"/>
  <c r="AW32" i="62"/>
  <c r="AV32" i="62"/>
  <c r="AU32" i="62"/>
  <c r="AG32" i="62"/>
  <c r="AE32" i="62"/>
  <c r="AC32" i="62"/>
  <c r="AB32" i="62"/>
  <c r="AA32" i="62"/>
  <c r="Z32" i="62"/>
  <c r="Y32" i="62"/>
  <c r="X32" i="62"/>
  <c r="W32" i="62"/>
  <c r="V32" i="62"/>
  <c r="U32" i="62"/>
  <c r="T32" i="62"/>
  <c r="S32" i="62"/>
  <c r="Q32" i="62"/>
  <c r="J32" i="62"/>
  <c r="F32" i="62"/>
  <c r="BT31" i="62"/>
  <c r="BS31" i="62"/>
  <c r="BR31" i="62"/>
  <c r="BQ31" i="62"/>
  <c r="BP31" i="62"/>
  <c r="BO31" i="62"/>
  <c r="BN31" i="62"/>
  <c r="BM31" i="62"/>
  <c r="BL31" i="62"/>
  <c r="BK31" i="62"/>
  <c r="BJ31" i="62"/>
  <c r="BI31" i="62"/>
  <c r="BH31" i="62"/>
  <c r="BG31" i="62"/>
  <c r="BF31" i="62"/>
  <c r="BE31" i="62"/>
  <c r="BD31" i="62"/>
  <c r="BC31" i="62"/>
  <c r="BB31" i="62"/>
  <c r="BA31" i="62"/>
  <c r="AZ31" i="62"/>
  <c r="AY31" i="62"/>
  <c r="AX31" i="62"/>
  <c r="AW31" i="62"/>
  <c r="AV31" i="62"/>
  <c r="AU31" i="62"/>
  <c r="AG31" i="62"/>
  <c r="AE31" i="62"/>
  <c r="AC31" i="62"/>
  <c r="AB31" i="62"/>
  <c r="AA31" i="62"/>
  <c r="Z31" i="62"/>
  <c r="Y31" i="62"/>
  <c r="X31" i="62"/>
  <c r="W31" i="62"/>
  <c r="V31" i="62"/>
  <c r="U31" i="62"/>
  <c r="T31" i="62"/>
  <c r="S31" i="62"/>
  <c r="Q31" i="62"/>
  <c r="J31" i="62"/>
  <c r="F31" i="62"/>
  <c r="BT30" i="62"/>
  <c r="BS30" i="62"/>
  <c r="BR30" i="62"/>
  <c r="BQ30" i="62"/>
  <c r="BP30" i="62"/>
  <c r="BO30" i="62"/>
  <c r="BN30" i="62"/>
  <c r="BM30" i="62"/>
  <c r="BL30" i="62"/>
  <c r="BK30" i="62"/>
  <c r="BJ30" i="62"/>
  <c r="BI30" i="62"/>
  <c r="BH30" i="62"/>
  <c r="BG30" i="62"/>
  <c r="BF30" i="62"/>
  <c r="BE30" i="62"/>
  <c r="BD30" i="62"/>
  <c r="BC30" i="62"/>
  <c r="BB30" i="62"/>
  <c r="BA30" i="62"/>
  <c r="AZ30" i="62"/>
  <c r="AY30" i="62"/>
  <c r="AX30" i="62"/>
  <c r="AW30" i="62"/>
  <c r="AV30" i="62"/>
  <c r="AU30" i="62"/>
  <c r="AG30" i="62"/>
  <c r="AE30" i="62"/>
  <c r="AC30" i="62"/>
  <c r="AB30" i="62"/>
  <c r="AA30" i="62"/>
  <c r="Z30" i="62"/>
  <c r="Y30" i="62"/>
  <c r="X30" i="62"/>
  <c r="W30" i="62"/>
  <c r="V30" i="62"/>
  <c r="U30" i="62"/>
  <c r="T30" i="62"/>
  <c r="S30" i="62"/>
  <c r="R30" i="62"/>
  <c r="Q30" i="62"/>
  <c r="J30" i="62"/>
  <c r="F30" i="62"/>
  <c r="BT29" i="62"/>
  <c r="BS29" i="62"/>
  <c r="BR29" i="62"/>
  <c r="BQ29" i="62"/>
  <c r="BP29" i="62"/>
  <c r="BO29" i="62"/>
  <c r="BN29" i="62"/>
  <c r="BM29" i="62"/>
  <c r="BL29" i="62"/>
  <c r="BK29" i="62"/>
  <c r="BJ29" i="62"/>
  <c r="BI29" i="62"/>
  <c r="BH29" i="62"/>
  <c r="BG29" i="62"/>
  <c r="BF29" i="62"/>
  <c r="BE29" i="62"/>
  <c r="BD29" i="62"/>
  <c r="BC29" i="62"/>
  <c r="BB29" i="62"/>
  <c r="BA29" i="62"/>
  <c r="AZ29" i="62"/>
  <c r="AY29" i="62"/>
  <c r="AX29" i="62"/>
  <c r="AW29" i="62"/>
  <c r="AV29" i="62"/>
  <c r="AU29" i="62"/>
  <c r="AG29" i="62"/>
  <c r="AE29" i="62"/>
  <c r="AC29" i="62"/>
  <c r="AA29" i="62"/>
  <c r="Z29" i="62"/>
  <c r="Y29" i="62"/>
  <c r="X29" i="62"/>
  <c r="W29" i="62"/>
  <c r="V29" i="62"/>
  <c r="U29" i="62"/>
  <c r="T29" i="62"/>
  <c r="R29" i="62"/>
  <c r="Q29" i="62"/>
  <c r="J29" i="62"/>
  <c r="F29" i="62"/>
  <c r="BT28" i="62"/>
  <c r="BS28" i="62"/>
  <c r="BR28" i="62"/>
  <c r="BQ28" i="62"/>
  <c r="BP28" i="62"/>
  <c r="BO28" i="62"/>
  <c r="BN28" i="62"/>
  <c r="BM28" i="62"/>
  <c r="BL28" i="62"/>
  <c r="BK28" i="62"/>
  <c r="BJ28" i="62"/>
  <c r="BI28" i="62"/>
  <c r="BH28" i="62"/>
  <c r="BG28" i="62"/>
  <c r="BF28" i="62"/>
  <c r="BE28" i="62"/>
  <c r="BD28" i="62"/>
  <c r="BC28" i="62"/>
  <c r="BB28" i="62"/>
  <c r="BA28" i="62"/>
  <c r="AZ28" i="62"/>
  <c r="AY28" i="62"/>
  <c r="AX28" i="62"/>
  <c r="AW28" i="62"/>
  <c r="AV28" i="62"/>
  <c r="AU28" i="62"/>
  <c r="AG28" i="62"/>
  <c r="AE28" i="62"/>
  <c r="AC28" i="62"/>
  <c r="AA28" i="62"/>
  <c r="Z28" i="62"/>
  <c r="Y28" i="62"/>
  <c r="X28" i="62"/>
  <c r="W28" i="62"/>
  <c r="V28" i="62"/>
  <c r="U28" i="62"/>
  <c r="T28" i="62"/>
  <c r="R28" i="62"/>
  <c r="Q28" i="62"/>
  <c r="J28" i="62"/>
  <c r="F28" i="62"/>
  <c r="K28" i="62" s="1"/>
  <c r="AF28" i="62" s="1"/>
  <c r="BT27" i="62"/>
  <c r="BS27" i="62"/>
  <c r="BR27" i="62"/>
  <c r="BQ27" i="62"/>
  <c r="BP27" i="62"/>
  <c r="BO27" i="62"/>
  <c r="BN27" i="62"/>
  <c r="BM27" i="62"/>
  <c r="BL27" i="62"/>
  <c r="BK27" i="62"/>
  <c r="BJ27" i="62"/>
  <c r="BI27" i="62"/>
  <c r="BH27" i="62"/>
  <c r="BG27" i="62"/>
  <c r="BF27" i="62"/>
  <c r="BE27" i="62"/>
  <c r="BD27" i="62"/>
  <c r="BC27" i="62"/>
  <c r="BB27" i="62"/>
  <c r="BA27" i="62"/>
  <c r="AZ27" i="62"/>
  <c r="AY27" i="62"/>
  <c r="AX27" i="62"/>
  <c r="AW27" i="62"/>
  <c r="AV27" i="62"/>
  <c r="AU27" i="62"/>
  <c r="AG27" i="62"/>
  <c r="AE27" i="62"/>
  <c r="AC27" i="62"/>
  <c r="AB27" i="62"/>
  <c r="AA27" i="62"/>
  <c r="Z27" i="62"/>
  <c r="Y27" i="62"/>
  <c r="X27" i="62"/>
  <c r="W27" i="62"/>
  <c r="V27" i="62"/>
  <c r="U27" i="62"/>
  <c r="T27" i="62"/>
  <c r="Q27" i="62"/>
  <c r="J27" i="62"/>
  <c r="F27" i="62"/>
  <c r="BT26" i="62"/>
  <c r="BS26" i="62"/>
  <c r="BR26" i="62"/>
  <c r="BQ26" i="62"/>
  <c r="BP26" i="62"/>
  <c r="BO26" i="62"/>
  <c r="BN26" i="62"/>
  <c r="BM26" i="62"/>
  <c r="BL26" i="62"/>
  <c r="BK26" i="62"/>
  <c r="BJ26" i="62"/>
  <c r="BI26" i="62"/>
  <c r="BH26" i="62"/>
  <c r="BG26" i="62"/>
  <c r="BF26" i="62"/>
  <c r="BE26" i="62"/>
  <c r="BD26" i="62"/>
  <c r="BC26" i="62"/>
  <c r="BB26" i="62"/>
  <c r="BA26" i="62"/>
  <c r="AZ26" i="62"/>
  <c r="AY26" i="62"/>
  <c r="AX26" i="62"/>
  <c r="AW26" i="62"/>
  <c r="AV26" i="62"/>
  <c r="AU26" i="62"/>
  <c r="AG26" i="62"/>
  <c r="AE26" i="62"/>
  <c r="AC26" i="62"/>
  <c r="AA26" i="62"/>
  <c r="Z26" i="62"/>
  <c r="Y26" i="62"/>
  <c r="X26" i="62"/>
  <c r="W26" i="62"/>
  <c r="V26" i="62"/>
  <c r="U26" i="62"/>
  <c r="T26" i="62"/>
  <c r="S26" i="62"/>
  <c r="R26" i="62"/>
  <c r="Q26" i="62"/>
  <c r="J26" i="62"/>
  <c r="F26" i="62"/>
  <c r="BT25" i="62"/>
  <c r="BS25" i="62"/>
  <c r="BR25" i="62"/>
  <c r="BQ25" i="62"/>
  <c r="BP25" i="62"/>
  <c r="BO25" i="62"/>
  <c r="BN25" i="62"/>
  <c r="BM25" i="62"/>
  <c r="BL25" i="62"/>
  <c r="BK25" i="62"/>
  <c r="BJ25" i="62"/>
  <c r="BI25" i="62"/>
  <c r="BH25" i="62"/>
  <c r="BG25" i="62"/>
  <c r="BF25" i="62"/>
  <c r="BE25" i="62"/>
  <c r="BD25" i="62"/>
  <c r="BC25" i="62"/>
  <c r="BB25" i="62"/>
  <c r="BA25" i="62"/>
  <c r="AZ25" i="62"/>
  <c r="AY25" i="62"/>
  <c r="AX25" i="62"/>
  <c r="AW25" i="62"/>
  <c r="AV25" i="62"/>
  <c r="AU25" i="62"/>
  <c r="AG25" i="62"/>
  <c r="AE25" i="62"/>
  <c r="AC25" i="62"/>
  <c r="AA25" i="62"/>
  <c r="Z25" i="62"/>
  <c r="Y25" i="62"/>
  <c r="X25" i="62"/>
  <c r="W25" i="62"/>
  <c r="U25" i="62"/>
  <c r="T25" i="62"/>
  <c r="S25" i="62"/>
  <c r="R25" i="62"/>
  <c r="Q25" i="62"/>
  <c r="J25" i="62"/>
  <c r="F25" i="62"/>
  <c r="BT24" i="62"/>
  <c r="BS24" i="62"/>
  <c r="BR24" i="62"/>
  <c r="BQ24" i="62"/>
  <c r="BP24" i="62"/>
  <c r="BO24" i="62"/>
  <c r="BN24" i="62"/>
  <c r="BM24" i="62"/>
  <c r="BL24" i="62"/>
  <c r="BK24" i="62"/>
  <c r="BJ24" i="62"/>
  <c r="BI24" i="62"/>
  <c r="BH24" i="62"/>
  <c r="BG24" i="62"/>
  <c r="BF24" i="62"/>
  <c r="BE24" i="62"/>
  <c r="BD24" i="62"/>
  <c r="BC24" i="62"/>
  <c r="BB24" i="62"/>
  <c r="BA24" i="62"/>
  <c r="AZ24" i="62"/>
  <c r="AY24" i="62"/>
  <c r="AX24" i="62"/>
  <c r="AW24" i="62"/>
  <c r="AV24" i="62"/>
  <c r="AU24" i="62"/>
  <c r="AG24" i="62"/>
  <c r="AE24" i="62"/>
  <c r="AC24" i="62"/>
  <c r="AA24" i="62"/>
  <c r="Z24" i="62"/>
  <c r="Y24" i="62"/>
  <c r="X24" i="62"/>
  <c r="W24" i="62"/>
  <c r="V24" i="62"/>
  <c r="U24" i="62"/>
  <c r="T24" i="62"/>
  <c r="S24" i="62"/>
  <c r="R24" i="62"/>
  <c r="Q24" i="62"/>
  <c r="J24" i="62"/>
  <c r="F24" i="62"/>
  <c r="K24" i="62" s="1"/>
  <c r="AF24" i="62" s="1"/>
  <c r="BT23" i="62"/>
  <c r="BS23" i="62"/>
  <c r="BR23" i="62"/>
  <c r="BQ23" i="62"/>
  <c r="BP23" i="62"/>
  <c r="BO23" i="62"/>
  <c r="BN23" i="62"/>
  <c r="BM23" i="62"/>
  <c r="BL23" i="62"/>
  <c r="BK23" i="62"/>
  <c r="BJ23" i="62"/>
  <c r="BI23" i="62"/>
  <c r="BH23" i="62"/>
  <c r="BG23" i="62"/>
  <c r="BF23" i="62"/>
  <c r="BE23" i="62"/>
  <c r="BD23" i="62"/>
  <c r="BC23" i="62"/>
  <c r="BB23" i="62"/>
  <c r="BA23" i="62"/>
  <c r="AZ23" i="62"/>
  <c r="AY23" i="62"/>
  <c r="AX23" i="62"/>
  <c r="AW23" i="62"/>
  <c r="AV23" i="62"/>
  <c r="AU23" i="62"/>
  <c r="AG23" i="62"/>
  <c r="AE23" i="62"/>
  <c r="AC23" i="62"/>
  <c r="AA23" i="62"/>
  <c r="Z23" i="62"/>
  <c r="Y23" i="62"/>
  <c r="X23" i="62"/>
  <c r="W23" i="62"/>
  <c r="V23" i="62"/>
  <c r="U23" i="62"/>
  <c r="S23" i="62"/>
  <c r="R23" i="62"/>
  <c r="Q23" i="62"/>
  <c r="J23" i="62"/>
  <c r="F23" i="62"/>
  <c r="BT22" i="62"/>
  <c r="BS22" i="62"/>
  <c r="BR22" i="62"/>
  <c r="BQ22" i="62"/>
  <c r="BP22" i="62"/>
  <c r="BO22" i="62"/>
  <c r="BN22" i="62"/>
  <c r="BM22" i="62"/>
  <c r="BL22" i="62"/>
  <c r="BK22" i="62"/>
  <c r="BJ22" i="62"/>
  <c r="BI22" i="62"/>
  <c r="BH22" i="62"/>
  <c r="BG22" i="62"/>
  <c r="BF22" i="62"/>
  <c r="BE22" i="62"/>
  <c r="BD22" i="62"/>
  <c r="BC22" i="62"/>
  <c r="BB22" i="62"/>
  <c r="BA22" i="62"/>
  <c r="AZ22" i="62"/>
  <c r="AY22" i="62"/>
  <c r="AX22" i="62"/>
  <c r="AW22" i="62"/>
  <c r="AV22" i="62"/>
  <c r="AU22" i="62"/>
  <c r="AG22" i="62"/>
  <c r="AE22" i="62"/>
  <c r="AC22" i="62"/>
  <c r="AA22" i="62"/>
  <c r="Z22" i="62"/>
  <c r="Y22" i="62"/>
  <c r="X22" i="62"/>
  <c r="W22" i="62"/>
  <c r="V22" i="62"/>
  <c r="U22" i="62"/>
  <c r="T22" i="62"/>
  <c r="S22" i="62"/>
  <c r="Q22" i="62"/>
  <c r="J22" i="62"/>
  <c r="F22" i="62"/>
  <c r="BT21" i="62"/>
  <c r="BS21" i="62"/>
  <c r="BR21" i="62"/>
  <c r="BQ21" i="62"/>
  <c r="BP21" i="62"/>
  <c r="BO21" i="62"/>
  <c r="BN21" i="62"/>
  <c r="BM21" i="62"/>
  <c r="BL21" i="62"/>
  <c r="BK21" i="62"/>
  <c r="BJ21" i="62"/>
  <c r="BI21" i="62"/>
  <c r="BH21" i="62"/>
  <c r="BG21" i="62"/>
  <c r="BF21" i="62"/>
  <c r="BE21" i="62"/>
  <c r="BD21" i="62"/>
  <c r="BC21" i="62"/>
  <c r="BB21" i="62"/>
  <c r="BA21" i="62"/>
  <c r="AZ21" i="62"/>
  <c r="AY21" i="62"/>
  <c r="AX21" i="62"/>
  <c r="AW21" i="62"/>
  <c r="AV21" i="62"/>
  <c r="AU21" i="62"/>
  <c r="AG21" i="62"/>
  <c r="AE21" i="62"/>
  <c r="AC21" i="62"/>
  <c r="AB21" i="62"/>
  <c r="AA21" i="62"/>
  <c r="Z21" i="62"/>
  <c r="Y21" i="62"/>
  <c r="X21" i="62"/>
  <c r="W21" i="62"/>
  <c r="V21" i="62"/>
  <c r="U21" i="62"/>
  <c r="T21" i="62"/>
  <c r="S21" i="62"/>
  <c r="R21" i="62"/>
  <c r="Q21" i="62"/>
  <c r="J21" i="62"/>
  <c r="F21" i="62"/>
  <c r="BT20" i="62"/>
  <c r="BS20" i="62"/>
  <c r="BR20" i="62"/>
  <c r="BQ20" i="62"/>
  <c r="BP20" i="62"/>
  <c r="BO20" i="62"/>
  <c r="BN20" i="62"/>
  <c r="BM20" i="62"/>
  <c r="BL20" i="62"/>
  <c r="BK20" i="62"/>
  <c r="BJ20" i="62"/>
  <c r="BI20" i="62"/>
  <c r="BH20" i="62"/>
  <c r="BG20" i="62"/>
  <c r="BF20" i="62"/>
  <c r="BE20" i="62"/>
  <c r="BD20" i="62"/>
  <c r="BC20" i="62"/>
  <c r="BB20" i="62"/>
  <c r="BA20" i="62"/>
  <c r="AZ20" i="62"/>
  <c r="AY20" i="62"/>
  <c r="AX20" i="62"/>
  <c r="N20" i="62" s="1"/>
  <c r="P20" i="62" s="1"/>
  <c r="R20" i="62" s="1"/>
  <c r="AW20" i="62"/>
  <c r="AV20" i="62"/>
  <c r="AU20" i="62"/>
  <c r="AG20" i="62"/>
  <c r="AE20" i="62"/>
  <c r="AC20" i="62"/>
  <c r="AB20" i="62"/>
  <c r="AA20" i="62"/>
  <c r="Z20" i="62"/>
  <c r="Y20" i="62"/>
  <c r="X20" i="62"/>
  <c r="W20" i="62"/>
  <c r="V20" i="62"/>
  <c r="U20" i="62"/>
  <c r="T20" i="62"/>
  <c r="S20" i="62"/>
  <c r="Q20" i="62"/>
  <c r="J20" i="62"/>
  <c r="F20" i="62"/>
  <c r="K20" i="62" s="1"/>
  <c r="AF20" i="62" s="1"/>
  <c r="BT19" i="62"/>
  <c r="BS19" i="62"/>
  <c r="BR19" i="62"/>
  <c r="BQ19" i="62"/>
  <c r="BP19" i="62"/>
  <c r="BO19" i="62"/>
  <c r="BN19" i="62"/>
  <c r="BM19" i="62"/>
  <c r="BL19" i="62"/>
  <c r="BK19" i="62"/>
  <c r="BJ19" i="62"/>
  <c r="BI19" i="62"/>
  <c r="BH19" i="62"/>
  <c r="BG19" i="62"/>
  <c r="BF19" i="62"/>
  <c r="BE19" i="62"/>
  <c r="BD19" i="62"/>
  <c r="BC19" i="62"/>
  <c r="BB19" i="62"/>
  <c r="BA19" i="62"/>
  <c r="AZ19" i="62"/>
  <c r="AY19" i="62"/>
  <c r="AX19" i="62"/>
  <c r="AW19" i="62"/>
  <c r="AV19" i="62"/>
  <c r="AU19" i="62"/>
  <c r="AG19" i="62"/>
  <c r="AE19" i="62"/>
  <c r="AC19" i="62"/>
  <c r="AB19" i="62"/>
  <c r="AA19" i="62"/>
  <c r="Z19" i="62"/>
  <c r="Y19" i="62"/>
  <c r="X19" i="62"/>
  <c r="W19" i="62"/>
  <c r="V19" i="62"/>
  <c r="U19" i="62"/>
  <c r="T19" i="62"/>
  <c r="S19" i="62"/>
  <c r="Q19" i="62"/>
  <c r="J19" i="62"/>
  <c r="F19" i="62"/>
  <c r="BT18" i="62"/>
  <c r="BS18" i="62"/>
  <c r="BR18" i="62"/>
  <c r="BQ18" i="62"/>
  <c r="BP18" i="62"/>
  <c r="BO18" i="62"/>
  <c r="BN18" i="62"/>
  <c r="BM18" i="62"/>
  <c r="BL18" i="62"/>
  <c r="BK18" i="62"/>
  <c r="BJ18" i="62"/>
  <c r="BI18" i="62"/>
  <c r="BH18" i="62"/>
  <c r="BG18" i="62"/>
  <c r="BF18" i="62"/>
  <c r="BE18" i="62"/>
  <c r="BD18" i="62"/>
  <c r="BC18" i="62"/>
  <c r="BB18" i="62"/>
  <c r="BA18" i="62"/>
  <c r="AZ18" i="62"/>
  <c r="AY18" i="62"/>
  <c r="AX18" i="62"/>
  <c r="AW18" i="62"/>
  <c r="AV18" i="62"/>
  <c r="AU18" i="62"/>
  <c r="AG18" i="62"/>
  <c r="AE18" i="62"/>
  <c r="AC18" i="62"/>
  <c r="AB18" i="62"/>
  <c r="AA18" i="62"/>
  <c r="Z18" i="62"/>
  <c r="Y18" i="62"/>
  <c r="X18" i="62"/>
  <c r="W18" i="62"/>
  <c r="V18" i="62"/>
  <c r="U18" i="62"/>
  <c r="S18" i="62"/>
  <c r="Q18" i="62"/>
  <c r="J18" i="62"/>
  <c r="F18" i="62"/>
  <c r="BT17" i="62"/>
  <c r="BS17" i="62"/>
  <c r="BR17" i="62"/>
  <c r="BQ17" i="62"/>
  <c r="BP17" i="62"/>
  <c r="BO17" i="62"/>
  <c r="BN17" i="62"/>
  <c r="BM17" i="62"/>
  <c r="BL17" i="62"/>
  <c r="BK17" i="62"/>
  <c r="BJ17" i="62"/>
  <c r="BI17" i="62"/>
  <c r="BH17" i="62"/>
  <c r="BG17" i="62"/>
  <c r="BF17" i="62"/>
  <c r="BE17" i="62"/>
  <c r="BD17" i="62"/>
  <c r="BC17" i="62"/>
  <c r="BB17" i="62"/>
  <c r="BA17" i="62"/>
  <c r="AZ17" i="62"/>
  <c r="AY17" i="62"/>
  <c r="AX17" i="62"/>
  <c r="AW17" i="62"/>
  <c r="AV17" i="62"/>
  <c r="AU17" i="62"/>
  <c r="AG17" i="62"/>
  <c r="AE17" i="62"/>
  <c r="AB17" i="62"/>
  <c r="AA17" i="62"/>
  <c r="Z17" i="62"/>
  <c r="Y17" i="62"/>
  <c r="X17" i="62"/>
  <c r="W17" i="62"/>
  <c r="V17" i="62"/>
  <c r="U17" i="62"/>
  <c r="T17" i="62"/>
  <c r="S17" i="62"/>
  <c r="Q17" i="62"/>
  <c r="J17" i="62"/>
  <c r="F17" i="62"/>
  <c r="K17" i="62" s="1"/>
  <c r="AF17" i="62" s="1"/>
  <c r="BT16" i="62"/>
  <c r="BS16" i="62"/>
  <c r="BR16" i="62"/>
  <c r="BQ16" i="62"/>
  <c r="BP16" i="62"/>
  <c r="BO16" i="62"/>
  <c r="BN16" i="62"/>
  <c r="BM16" i="62"/>
  <c r="BL16" i="62"/>
  <c r="BK16" i="62"/>
  <c r="BJ16" i="62"/>
  <c r="BI16" i="62"/>
  <c r="BH16" i="62"/>
  <c r="BG16" i="62"/>
  <c r="BF16" i="62"/>
  <c r="BE16" i="62"/>
  <c r="BD16" i="62"/>
  <c r="BC16" i="62"/>
  <c r="BB16" i="62"/>
  <c r="BA16" i="62"/>
  <c r="AZ16" i="62"/>
  <c r="AY16" i="62"/>
  <c r="AX16" i="62"/>
  <c r="AW16" i="62"/>
  <c r="AV16" i="62"/>
  <c r="AU16" i="62"/>
  <c r="AG16" i="62"/>
  <c r="AE16" i="62"/>
  <c r="AB16" i="62"/>
  <c r="AA16" i="62"/>
  <c r="Z16" i="62"/>
  <c r="Y16" i="62"/>
  <c r="X16" i="62"/>
  <c r="W16" i="62"/>
  <c r="V16" i="62"/>
  <c r="U16" i="62"/>
  <c r="T16" i="62"/>
  <c r="S16" i="62"/>
  <c r="R16" i="62"/>
  <c r="Q16" i="62"/>
  <c r="J16" i="62"/>
  <c r="F16" i="62"/>
  <c r="BT15" i="62"/>
  <c r="BS15" i="62"/>
  <c r="BR15" i="62"/>
  <c r="BQ15" i="62"/>
  <c r="BP15" i="62"/>
  <c r="BO15" i="62"/>
  <c r="BN15" i="62"/>
  <c r="BM15" i="62"/>
  <c r="BL15" i="62"/>
  <c r="BK15" i="62"/>
  <c r="BJ15" i="62"/>
  <c r="BI15" i="62"/>
  <c r="BH15" i="62"/>
  <c r="BG15" i="62"/>
  <c r="BF15" i="62"/>
  <c r="BE15" i="62"/>
  <c r="BD15" i="62"/>
  <c r="BC15" i="62"/>
  <c r="BB15" i="62"/>
  <c r="BA15" i="62"/>
  <c r="AZ15" i="62"/>
  <c r="AY15" i="62"/>
  <c r="AX15" i="62"/>
  <c r="AW15" i="62"/>
  <c r="AV15" i="62"/>
  <c r="AU15" i="62"/>
  <c r="AG15" i="62"/>
  <c r="AE15" i="62"/>
  <c r="AC15" i="62"/>
  <c r="AB15" i="62"/>
  <c r="AA15" i="62"/>
  <c r="Z15" i="62"/>
  <c r="X15" i="62"/>
  <c r="W15" i="62"/>
  <c r="V15" i="62"/>
  <c r="U15" i="62"/>
  <c r="T15" i="62"/>
  <c r="S15" i="62"/>
  <c r="Q15" i="62"/>
  <c r="J15" i="62"/>
  <c r="F15" i="62"/>
  <c r="BT14" i="62"/>
  <c r="BS14" i="62"/>
  <c r="BR14" i="62"/>
  <c r="BQ14" i="62"/>
  <c r="BP14" i="62"/>
  <c r="BO14" i="62"/>
  <c r="BN14" i="62"/>
  <c r="BM14" i="62"/>
  <c r="BL14" i="62"/>
  <c r="BK14" i="62"/>
  <c r="BJ14" i="62"/>
  <c r="BI14" i="62"/>
  <c r="BH14" i="62"/>
  <c r="BG14" i="62"/>
  <c r="BF14" i="62"/>
  <c r="BE14" i="62"/>
  <c r="BD14" i="62"/>
  <c r="BC14" i="62"/>
  <c r="BB14" i="62"/>
  <c r="BA14" i="62"/>
  <c r="AZ14" i="62"/>
  <c r="AY14" i="62"/>
  <c r="AX14" i="62"/>
  <c r="AW14" i="62"/>
  <c r="AV14" i="62"/>
  <c r="AU14" i="62"/>
  <c r="AG14" i="62"/>
  <c r="AE14" i="62"/>
  <c r="AC14" i="62"/>
  <c r="AA14" i="62"/>
  <c r="Z14" i="62"/>
  <c r="X14" i="62"/>
  <c r="W14" i="62"/>
  <c r="V14" i="62"/>
  <c r="U14" i="62"/>
  <c r="T14" i="62"/>
  <c r="S14" i="62"/>
  <c r="R14" i="62"/>
  <c r="Q14" i="62"/>
  <c r="J14" i="62"/>
  <c r="F14" i="62"/>
  <c r="BT13" i="62"/>
  <c r="BS13" i="62"/>
  <c r="BR13" i="62"/>
  <c r="BQ13" i="62"/>
  <c r="BP13" i="62"/>
  <c r="BO13" i="62"/>
  <c r="BN13" i="62"/>
  <c r="BM13" i="62"/>
  <c r="BL13" i="62"/>
  <c r="BK13" i="62"/>
  <c r="BJ13" i="62"/>
  <c r="BI13" i="62"/>
  <c r="BH13" i="62"/>
  <c r="BG13" i="62"/>
  <c r="BF13" i="62"/>
  <c r="BE13" i="62"/>
  <c r="BD13" i="62"/>
  <c r="BC13" i="62"/>
  <c r="BB13" i="62"/>
  <c r="BA13" i="62"/>
  <c r="AZ13" i="62"/>
  <c r="AY13" i="62"/>
  <c r="AX13" i="62"/>
  <c r="AW13" i="62"/>
  <c r="AV13" i="62"/>
  <c r="AU13" i="62"/>
  <c r="AG13" i="62"/>
  <c r="AE13" i="62"/>
  <c r="AC13" i="62"/>
  <c r="AA13" i="62"/>
  <c r="Z13" i="62"/>
  <c r="X13" i="62"/>
  <c r="W13" i="62"/>
  <c r="V13" i="62"/>
  <c r="U13" i="62"/>
  <c r="T13" i="62"/>
  <c r="S13" i="62"/>
  <c r="R13" i="62"/>
  <c r="Q13" i="62"/>
  <c r="J13" i="62"/>
  <c r="F13" i="62"/>
  <c r="BT12" i="62"/>
  <c r="BS12" i="62"/>
  <c r="BR12" i="62"/>
  <c r="BQ12" i="62"/>
  <c r="BP12" i="62"/>
  <c r="BO12" i="62"/>
  <c r="BN12" i="62"/>
  <c r="BM12" i="62"/>
  <c r="BL12" i="62"/>
  <c r="BK12" i="62"/>
  <c r="BJ12" i="62"/>
  <c r="BI12" i="62"/>
  <c r="BH12" i="62"/>
  <c r="BG12" i="62"/>
  <c r="BF12" i="62"/>
  <c r="BE12" i="62"/>
  <c r="BD12" i="62"/>
  <c r="BC12" i="62"/>
  <c r="BB12" i="62"/>
  <c r="BA12" i="62"/>
  <c r="AZ12" i="62"/>
  <c r="AY12" i="62"/>
  <c r="AX12" i="62"/>
  <c r="AW12" i="62"/>
  <c r="AV12" i="62"/>
  <c r="AU12" i="62"/>
  <c r="AG12" i="62"/>
  <c r="AE12" i="62"/>
  <c r="AC12" i="62"/>
  <c r="AA12" i="62"/>
  <c r="Z12" i="62"/>
  <c r="X12" i="62"/>
  <c r="W12" i="62"/>
  <c r="V12" i="62"/>
  <c r="U12" i="62"/>
  <c r="T12" i="62"/>
  <c r="S12" i="62"/>
  <c r="R12" i="62"/>
  <c r="Q12" i="62"/>
  <c r="J12" i="62"/>
  <c r="F12" i="62"/>
  <c r="BT11" i="62"/>
  <c r="BS11" i="62"/>
  <c r="BR11" i="62"/>
  <c r="BQ11" i="62"/>
  <c r="BP11" i="62"/>
  <c r="BO11" i="62"/>
  <c r="BN11" i="62"/>
  <c r="BM11" i="62"/>
  <c r="BL11" i="62"/>
  <c r="BK11" i="62"/>
  <c r="BJ11" i="62"/>
  <c r="BI11" i="62"/>
  <c r="BH11" i="62"/>
  <c r="BG11" i="62"/>
  <c r="BF11" i="62"/>
  <c r="BE11" i="62"/>
  <c r="BD11" i="62"/>
  <c r="BC11" i="62"/>
  <c r="BB11" i="62"/>
  <c r="BA11" i="62"/>
  <c r="AZ11" i="62"/>
  <c r="AY11" i="62"/>
  <c r="AX11" i="62"/>
  <c r="AW11" i="62"/>
  <c r="AV11" i="62"/>
  <c r="AU11" i="62"/>
  <c r="AG11" i="62"/>
  <c r="AE11" i="62"/>
  <c r="AC11" i="62"/>
  <c r="AA11" i="62"/>
  <c r="Z11" i="62"/>
  <c r="X11" i="62"/>
  <c r="W11" i="62"/>
  <c r="V11" i="62"/>
  <c r="U11" i="62"/>
  <c r="T11" i="62"/>
  <c r="S11" i="62"/>
  <c r="R11" i="62"/>
  <c r="Q11" i="62"/>
  <c r="J11" i="62"/>
  <c r="F11" i="62"/>
  <c r="BT10" i="62"/>
  <c r="BS10" i="62"/>
  <c r="BR10" i="62"/>
  <c r="BQ10" i="62"/>
  <c r="BP10" i="62"/>
  <c r="BO10" i="62"/>
  <c r="BN10" i="62"/>
  <c r="BM10" i="62"/>
  <c r="BL10" i="62"/>
  <c r="BK10" i="62"/>
  <c r="BJ10" i="62"/>
  <c r="BI10" i="62"/>
  <c r="BH10" i="62"/>
  <c r="BG10" i="62"/>
  <c r="BF10" i="62"/>
  <c r="BE10" i="62"/>
  <c r="BD10" i="62"/>
  <c r="BC10" i="62"/>
  <c r="BB10" i="62"/>
  <c r="BA10" i="62"/>
  <c r="AZ10" i="62"/>
  <c r="AY10" i="62"/>
  <c r="AX10" i="62"/>
  <c r="AW10" i="62"/>
  <c r="AV10" i="62"/>
  <c r="AU10" i="62"/>
  <c r="AG10" i="62"/>
  <c r="AE10" i="62"/>
  <c r="AC10" i="62"/>
  <c r="AA10" i="62"/>
  <c r="Z10" i="62"/>
  <c r="X10" i="62"/>
  <c r="W10" i="62"/>
  <c r="V10" i="62"/>
  <c r="U10" i="62"/>
  <c r="T10" i="62"/>
  <c r="S10" i="62"/>
  <c r="R10" i="62"/>
  <c r="Q10" i="62"/>
  <c r="J10" i="62"/>
  <c r="F10" i="62"/>
  <c r="BT9" i="62"/>
  <c r="BS9" i="62"/>
  <c r="BR9" i="62"/>
  <c r="BQ9" i="62"/>
  <c r="BP9" i="62"/>
  <c r="BO9" i="62"/>
  <c r="BN9" i="62"/>
  <c r="BM9" i="62"/>
  <c r="BL9" i="62"/>
  <c r="BK9" i="62"/>
  <c r="BJ9" i="62"/>
  <c r="BI9" i="62"/>
  <c r="BH9" i="62"/>
  <c r="BG9" i="62"/>
  <c r="BF9" i="62"/>
  <c r="BE9" i="62"/>
  <c r="BD9" i="62"/>
  <c r="BC9" i="62"/>
  <c r="BB9" i="62"/>
  <c r="BA9" i="62"/>
  <c r="AZ9" i="62"/>
  <c r="AY9" i="62"/>
  <c r="AX9" i="62"/>
  <c r="AW9" i="62"/>
  <c r="AV9" i="62"/>
  <c r="AU9" i="62"/>
  <c r="AG9" i="62"/>
  <c r="AE9" i="62"/>
  <c r="AC9" i="62"/>
  <c r="AA9" i="62"/>
  <c r="Z9" i="62"/>
  <c r="X9" i="62"/>
  <c r="W9" i="62"/>
  <c r="V9" i="62"/>
  <c r="U9" i="62"/>
  <c r="T9" i="62"/>
  <c r="S9" i="62"/>
  <c r="R9" i="62"/>
  <c r="Q9" i="62"/>
  <c r="J9" i="62"/>
  <c r="K9" i="62" s="1"/>
  <c r="AF9" i="62" s="1"/>
  <c r="F9" i="62"/>
  <c r="E6" i="66"/>
  <c r="J6" i="66" s="1"/>
  <c r="I6" i="66"/>
  <c r="E7" i="66"/>
  <c r="J7" i="66" s="1"/>
  <c r="I7" i="66"/>
  <c r="E8" i="66"/>
  <c r="I8" i="66"/>
  <c r="J8" i="66" s="1"/>
  <c r="E9" i="66"/>
  <c r="J9" i="66" s="1"/>
  <c r="I9" i="66"/>
  <c r="E10" i="66"/>
  <c r="J10" i="66" s="1"/>
  <c r="I10" i="66"/>
  <c r="E11" i="66"/>
  <c r="I11" i="66"/>
  <c r="J11" i="66"/>
  <c r="E12" i="66"/>
  <c r="J12" i="66" s="1"/>
  <c r="I12" i="66"/>
  <c r="E13" i="66"/>
  <c r="J13" i="66" s="1"/>
  <c r="I13" i="66"/>
  <c r="E14" i="66"/>
  <c r="J14" i="66" s="1"/>
  <c r="I14" i="66"/>
  <c r="E15" i="66"/>
  <c r="J15" i="66" s="1"/>
  <c r="I15" i="66"/>
  <c r="E16" i="66"/>
  <c r="I16" i="66"/>
  <c r="J16" i="66" s="1"/>
  <c r="E17" i="66"/>
  <c r="J17" i="66" s="1"/>
  <c r="I17" i="66"/>
  <c r="E18" i="66"/>
  <c r="J18" i="66" s="1"/>
  <c r="I18" i="66"/>
  <c r="E19" i="66"/>
  <c r="I19" i="66"/>
  <c r="J19" i="66"/>
  <c r="E20" i="66"/>
  <c r="J20" i="66" s="1"/>
  <c r="I20" i="66"/>
  <c r="E21" i="66"/>
  <c r="J21" i="66" s="1"/>
  <c r="I21" i="66"/>
  <c r="E22" i="66"/>
  <c r="J22" i="66" s="1"/>
  <c r="I22" i="66"/>
  <c r="E23" i="66"/>
  <c r="J23" i="66" s="1"/>
  <c r="I23" i="66"/>
  <c r="E24" i="66"/>
  <c r="I24" i="66"/>
  <c r="J24" i="66" s="1"/>
  <c r="E25" i="66"/>
  <c r="J25" i="66" s="1"/>
  <c r="I25" i="66"/>
  <c r="E26" i="66"/>
  <c r="J26" i="66" s="1"/>
  <c r="I26" i="66"/>
  <c r="E27" i="66"/>
  <c r="I27" i="66"/>
  <c r="J27" i="66"/>
  <c r="E28" i="66"/>
  <c r="J28" i="66" s="1"/>
  <c r="I28" i="66"/>
  <c r="E29" i="66"/>
  <c r="J29" i="66" s="1"/>
  <c r="I29" i="66"/>
  <c r="E30" i="66"/>
  <c r="J30" i="66" s="1"/>
  <c r="I30" i="66"/>
  <c r="E31" i="66"/>
  <c r="J31" i="66" s="1"/>
  <c r="I31" i="66"/>
  <c r="E32" i="66"/>
  <c r="I32" i="66"/>
  <c r="J32" i="66" s="1"/>
  <c r="E33" i="66"/>
  <c r="J33" i="66" s="1"/>
  <c r="I33" i="66"/>
  <c r="E34" i="66"/>
  <c r="J34" i="66" s="1"/>
  <c r="I34" i="66"/>
  <c r="E35" i="66"/>
  <c r="I35" i="66"/>
  <c r="J35" i="66"/>
  <c r="E36" i="66"/>
  <c r="J36" i="66" s="1"/>
  <c r="I36" i="66"/>
  <c r="E37" i="66"/>
  <c r="J37" i="66" s="1"/>
  <c r="I37" i="66"/>
  <c r="E38" i="66"/>
  <c r="J38" i="66" s="1"/>
  <c r="I38" i="66"/>
  <c r="E39" i="66"/>
  <c r="J39" i="66" s="1"/>
  <c r="I39" i="66"/>
  <c r="E40" i="66"/>
  <c r="I40" i="66"/>
  <c r="J40" i="66" s="1"/>
  <c r="E41" i="66"/>
  <c r="J41" i="66" s="1"/>
  <c r="I41" i="66"/>
  <c r="E42" i="66"/>
  <c r="J42" i="66" s="1"/>
  <c r="I42" i="66"/>
  <c r="E43" i="66"/>
  <c r="I43" i="66"/>
  <c r="J43" i="66"/>
  <c r="E44" i="66"/>
  <c r="J44" i="66" s="1"/>
  <c r="I44" i="66"/>
  <c r="E45" i="66"/>
  <c r="J45" i="66" s="1"/>
  <c r="I45" i="66"/>
  <c r="E46" i="66"/>
  <c r="J46" i="66" s="1"/>
  <c r="I46" i="66"/>
  <c r="E47" i="66"/>
  <c r="J47" i="66" s="1"/>
  <c r="I47" i="66"/>
  <c r="E48" i="66"/>
  <c r="I48" i="66"/>
  <c r="J48" i="66" s="1"/>
  <c r="E49" i="66"/>
  <c r="J49" i="66" s="1"/>
  <c r="I49" i="66"/>
  <c r="E50" i="66"/>
  <c r="J50" i="66" s="1"/>
  <c r="I50" i="66"/>
  <c r="E51" i="66"/>
  <c r="I51" i="66"/>
  <c r="J51" i="66"/>
  <c r="E52" i="66"/>
  <c r="J52" i="66" s="1"/>
  <c r="I52" i="66"/>
  <c r="E53" i="66"/>
  <c r="J53" i="66" s="1"/>
  <c r="I53" i="66"/>
  <c r="E54" i="66"/>
  <c r="J54" i="66" s="1"/>
  <c r="I54" i="66"/>
  <c r="E55" i="66"/>
  <c r="J55" i="66" s="1"/>
  <c r="I55" i="66"/>
  <c r="E56" i="66"/>
  <c r="I56" i="66"/>
  <c r="J56" i="66" s="1"/>
  <c r="E57" i="66"/>
  <c r="J57" i="66" s="1"/>
  <c r="I57" i="66"/>
  <c r="E58" i="66"/>
  <c r="J58" i="66" s="1"/>
  <c r="I58" i="66"/>
  <c r="E59" i="66"/>
  <c r="I59" i="66"/>
  <c r="J59" i="66"/>
  <c r="E60" i="66"/>
  <c r="J60" i="66" s="1"/>
  <c r="I60" i="66"/>
  <c r="E61" i="66"/>
  <c r="J61" i="66" s="1"/>
  <c r="I61" i="66"/>
  <c r="E62" i="66"/>
  <c r="J62" i="66" s="1"/>
  <c r="I62" i="66"/>
  <c r="E63" i="66"/>
  <c r="J63" i="66" s="1"/>
  <c r="I63" i="66"/>
  <c r="E64" i="66"/>
  <c r="I64" i="66"/>
  <c r="J64" i="66" s="1"/>
  <c r="E65" i="66"/>
  <c r="J65" i="66" s="1"/>
  <c r="I65" i="66"/>
  <c r="E66" i="66"/>
  <c r="J66" i="66" s="1"/>
  <c r="I66" i="66"/>
  <c r="E67" i="66"/>
  <c r="I67" i="66"/>
  <c r="J67" i="66"/>
  <c r="E68" i="66"/>
  <c r="J68" i="66" s="1"/>
  <c r="I68" i="66"/>
  <c r="E69" i="66"/>
  <c r="J69" i="66" s="1"/>
  <c r="I69" i="66"/>
  <c r="E70" i="66"/>
  <c r="J70" i="66" s="1"/>
  <c r="I70" i="66"/>
  <c r="E71" i="66"/>
  <c r="J71" i="66" s="1"/>
  <c r="I71" i="66"/>
  <c r="E72" i="66"/>
  <c r="I72" i="66"/>
  <c r="J72" i="66" s="1"/>
  <c r="E73" i="66"/>
  <c r="J73" i="66" s="1"/>
  <c r="I73" i="66"/>
  <c r="E74" i="66"/>
  <c r="J74" i="66" s="1"/>
  <c r="I74" i="66"/>
  <c r="E75" i="66"/>
  <c r="I75" i="66"/>
  <c r="J75" i="66"/>
  <c r="E76" i="66"/>
  <c r="J76" i="66" s="1"/>
  <c r="I76" i="66"/>
  <c r="E77" i="66"/>
  <c r="J77" i="66" s="1"/>
  <c r="I77" i="66"/>
  <c r="E78" i="66"/>
  <c r="J78" i="66" s="1"/>
  <c r="I78" i="66"/>
  <c r="E79" i="66"/>
  <c r="J79" i="66" s="1"/>
  <c r="I79" i="66"/>
  <c r="E80" i="66"/>
  <c r="I80" i="66"/>
  <c r="J80" i="66" s="1"/>
  <c r="E81" i="66"/>
  <c r="J81" i="66" s="1"/>
  <c r="I81" i="66"/>
  <c r="E82" i="66"/>
  <c r="J82" i="66" s="1"/>
  <c r="I82" i="66"/>
  <c r="E83" i="66"/>
  <c r="I83" i="66"/>
  <c r="J83" i="66"/>
  <c r="E84" i="66"/>
  <c r="J84" i="66" s="1"/>
  <c r="I84" i="66"/>
  <c r="E85" i="66"/>
  <c r="J85" i="66" s="1"/>
  <c r="I85" i="66"/>
  <c r="E86" i="66"/>
  <c r="J86" i="66" s="1"/>
  <c r="I86" i="66"/>
  <c r="E87" i="66"/>
  <c r="J87" i="66" s="1"/>
  <c r="I87" i="66"/>
  <c r="E88" i="66"/>
  <c r="I88" i="66"/>
  <c r="J88" i="66" s="1"/>
  <c r="E89" i="66"/>
  <c r="J89" i="66" s="1"/>
  <c r="I89" i="66"/>
  <c r="E90" i="66"/>
  <c r="J90" i="66" s="1"/>
  <c r="I90" i="66"/>
  <c r="E91" i="66"/>
  <c r="I91" i="66"/>
  <c r="J91" i="66"/>
  <c r="E92" i="66"/>
  <c r="J92" i="66" s="1"/>
  <c r="I92" i="66"/>
  <c r="E93" i="66"/>
  <c r="J93" i="66" s="1"/>
  <c r="I93" i="66"/>
  <c r="E94" i="66"/>
  <c r="J94" i="66" s="1"/>
  <c r="I94" i="66"/>
  <c r="E95" i="66"/>
  <c r="J95" i="66" s="1"/>
  <c r="I95" i="66"/>
  <c r="E96" i="66"/>
  <c r="I96" i="66"/>
  <c r="J96" i="66" s="1"/>
  <c r="E97" i="66"/>
  <c r="J97" i="66" s="1"/>
  <c r="I97" i="66"/>
  <c r="E98" i="66"/>
  <c r="J98" i="66" s="1"/>
  <c r="I98" i="66"/>
  <c r="E99" i="66"/>
  <c r="I99" i="66"/>
  <c r="J99" i="66"/>
  <c r="E100" i="66"/>
  <c r="J100" i="66" s="1"/>
  <c r="I100" i="66"/>
  <c r="E101" i="66"/>
  <c r="J101" i="66" s="1"/>
  <c r="I101" i="66"/>
  <c r="E102" i="66"/>
  <c r="J102" i="66" s="1"/>
  <c r="I102" i="66"/>
  <c r="E103" i="66"/>
  <c r="J103" i="66" s="1"/>
  <c r="I103" i="66"/>
  <c r="E104" i="66"/>
  <c r="I104" i="66"/>
  <c r="J104" i="66" s="1"/>
  <c r="E105" i="66"/>
  <c r="J105" i="66" s="1"/>
  <c r="I105" i="66"/>
  <c r="E106" i="66"/>
  <c r="J106" i="66" s="1"/>
  <c r="I106" i="66"/>
  <c r="E107" i="66"/>
  <c r="I107" i="66"/>
  <c r="J107" i="66"/>
  <c r="E108" i="66"/>
  <c r="J108" i="66" s="1"/>
  <c r="I108" i="66"/>
  <c r="E109" i="66"/>
  <c r="J109" i="66" s="1"/>
  <c r="I109" i="66"/>
  <c r="E110" i="66"/>
  <c r="J110" i="66" s="1"/>
  <c r="I110" i="66"/>
  <c r="E111" i="66"/>
  <c r="J111" i="66" s="1"/>
  <c r="I111" i="66"/>
  <c r="E112" i="66"/>
  <c r="I112" i="66"/>
  <c r="J112" i="66" s="1"/>
  <c r="E113" i="66"/>
  <c r="J113" i="66" s="1"/>
  <c r="I113" i="66"/>
  <c r="E114" i="66"/>
  <c r="J114" i="66" s="1"/>
  <c r="I114" i="66"/>
  <c r="E115" i="66"/>
  <c r="I115" i="66"/>
  <c r="J115" i="66"/>
  <c r="E116" i="66"/>
  <c r="J116" i="66" s="1"/>
  <c r="I116" i="66"/>
  <c r="E117" i="66"/>
  <c r="J117" i="66" s="1"/>
  <c r="I117" i="66"/>
  <c r="E118" i="66"/>
  <c r="J118" i="66" s="1"/>
  <c r="I118" i="66"/>
  <c r="K120" i="66"/>
  <c r="D124" i="66"/>
  <c r="D125" i="66"/>
  <c r="D126" i="66"/>
  <c r="D127" i="66"/>
  <c r="D128" i="66"/>
  <c r="D129" i="66"/>
  <c r="D130" i="66"/>
  <c r="D131" i="66"/>
  <c r="D132" i="66"/>
  <c r="D133" i="66"/>
  <c r="D134" i="66"/>
  <c r="D135" i="66"/>
  <c r="D136" i="66"/>
  <c r="D137" i="66"/>
  <c r="D138" i="66"/>
  <c r="D139" i="66"/>
  <c r="D140" i="66"/>
  <c r="D141" i="66"/>
  <c r="D142" i="66"/>
  <c r="D143" i="66"/>
  <c r="D144" i="66"/>
  <c r="D145" i="66"/>
  <c r="D146" i="66"/>
  <c r="D147" i="66"/>
  <c r="D148" i="66"/>
  <c r="D149" i="66"/>
  <c r="D150" i="66"/>
  <c r="D151" i="66"/>
  <c r="D152" i="66"/>
  <c r="D153" i="66"/>
  <c r="D154" i="66"/>
  <c r="D155" i="66"/>
  <c r="D156" i="66"/>
  <c r="D157" i="66"/>
  <c r="D158" i="66"/>
  <c r="D159" i="66"/>
  <c r="D160" i="66"/>
  <c r="D161" i="66"/>
  <c r="D162" i="66"/>
  <c r="D163" i="66"/>
  <c r="D164" i="66"/>
  <c r="D165" i="66"/>
  <c r="D166" i="66"/>
  <c r="D167" i="66"/>
  <c r="D168" i="66"/>
  <c r="D169" i="66"/>
  <c r="D170" i="66"/>
  <c r="D171" i="66"/>
  <c r="D172" i="66"/>
  <c r="D173" i="66"/>
  <c r="D174" i="66"/>
  <c r="D175" i="66"/>
  <c r="D176" i="66"/>
  <c r="D177" i="66"/>
  <c r="D178" i="66"/>
  <c r="D179" i="66"/>
  <c r="D180" i="66"/>
  <c r="D181" i="66"/>
  <c r="D182" i="66"/>
  <c r="D183" i="66"/>
  <c r="D184" i="66"/>
  <c r="D185" i="66"/>
  <c r="D186" i="66"/>
  <c r="D187" i="66"/>
  <c r="D188" i="66"/>
  <c r="D189" i="66"/>
  <c r="D190" i="66"/>
  <c r="D191" i="66"/>
  <c r="D192" i="66"/>
  <c r="D193" i="66"/>
  <c r="D194" i="66"/>
  <c r="D195" i="66"/>
  <c r="D196" i="66"/>
  <c r="D197" i="66"/>
  <c r="D198" i="66"/>
  <c r="D199" i="66"/>
  <c r="D200" i="66"/>
  <c r="D201" i="66"/>
  <c r="D202" i="66"/>
  <c r="D203" i="66"/>
  <c r="D204" i="66"/>
  <c r="D205" i="66"/>
  <c r="D206" i="66"/>
  <c r="D207" i="66"/>
  <c r="D208" i="66"/>
  <c r="D209" i="66"/>
  <c r="D210" i="66"/>
  <c r="D211" i="66"/>
  <c r="D212" i="66"/>
  <c r="D213" i="66"/>
  <c r="D214" i="66"/>
  <c r="D215" i="66"/>
  <c r="D216" i="66"/>
  <c r="D217" i="66"/>
  <c r="D218" i="66"/>
  <c r="D219" i="66"/>
  <c r="D220" i="66"/>
  <c r="D221" i="66"/>
  <c r="D222" i="66"/>
  <c r="D223" i="66"/>
  <c r="D224" i="66"/>
  <c r="D225" i="66"/>
  <c r="D226" i="66"/>
  <c r="D227" i="66"/>
  <c r="D228" i="66"/>
  <c r="D229" i="66"/>
  <c r="D230" i="66"/>
  <c r="D231" i="66"/>
  <c r="D232" i="66"/>
  <c r="D233" i="66"/>
  <c r="D234" i="66"/>
  <c r="D235" i="66"/>
  <c r="D236" i="66"/>
  <c r="D237" i="66"/>
  <c r="D238" i="66"/>
  <c r="D239" i="66"/>
  <c r="D240" i="66"/>
  <c r="D241" i="66"/>
  <c r="D242" i="66"/>
  <c r="D243" i="66"/>
  <c r="D244" i="66"/>
  <c r="D245" i="66"/>
  <c r="D246" i="66"/>
  <c r="E255" i="66"/>
  <c r="J255" i="66" s="1"/>
  <c r="I255" i="66"/>
  <c r="E256" i="66"/>
  <c r="I256" i="66"/>
  <c r="J256" i="66" s="1"/>
  <c r="E257" i="66"/>
  <c r="J257" i="66" s="1"/>
  <c r="I257" i="66"/>
  <c r="E258" i="66"/>
  <c r="J258" i="66" s="1"/>
  <c r="I258" i="66"/>
  <c r="E259" i="66"/>
  <c r="I259" i="66"/>
  <c r="J259" i="66"/>
  <c r="E260" i="66"/>
  <c r="J260" i="66" s="1"/>
  <c r="I260" i="66"/>
  <c r="E261" i="66"/>
  <c r="J261" i="66" s="1"/>
  <c r="I261" i="66"/>
  <c r="E262" i="66"/>
  <c r="J262" i="66" s="1"/>
  <c r="I262" i="66"/>
  <c r="E263" i="66"/>
  <c r="J263" i="66" s="1"/>
  <c r="I263" i="66"/>
  <c r="E264" i="66"/>
  <c r="I264" i="66"/>
  <c r="J264" i="66" s="1"/>
  <c r="E265" i="66"/>
  <c r="J265" i="66" s="1"/>
  <c r="I265" i="66"/>
  <c r="E266" i="66"/>
  <c r="J266" i="66" s="1"/>
  <c r="I266" i="66"/>
  <c r="E267" i="66"/>
  <c r="I267" i="66"/>
  <c r="J267" i="66"/>
  <c r="E268" i="66"/>
  <c r="J268" i="66" s="1"/>
  <c r="I268" i="66"/>
  <c r="E269" i="66"/>
  <c r="J269" i="66" s="1"/>
  <c r="I269" i="66"/>
  <c r="E270" i="66"/>
  <c r="J270" i="66" s="1"/>
  <c r="I270" i="66"/>
  <c r="K271" i="66"/>
  <c r="D276" i="66"/>
  <c r="D277" i="66"/>
  <c r="D278" i="66"/>
  <c r="D279" i="66"/>
  <c r="D280" i="66"/>
  <c r="D281" i="66"/>
  <c r="D282" i="66"/>
  <c r="D283" i="66"/>
  <c r="D284" i="66"/>
  <c r="D285" i="66"/>
  <c r="D286" i="66"/>
  <c r="D287" i="66"/>
  <c r="D288" i="66"/>
  <c r="D289" i="66"/>
  <c r="D290" i="66"/>
  <c r="D291" i="66"/>
  <c r="E6" i="65"/>
  <c r="I6" i="65"/>
  <c r="E7" i="65"/>
  <c r="I7" i="65"/>
  <c r="J7" i="65" s="1"/>
  <c r="E8" i="65"/>
  <c r="I8" i="65"/>
  <c r="J8" i="65"/>
  <c r="E9" i="65"/>
  <c r="I9" i="65"/>
  <c r="E10" i="65"/>
  <c r="I10" i="65"/>
  <c r="E11" i="65"/>
  <c r="J11" i="65" s="1"/>
  <c r="I11" i="65"/>
  <c r="E12" i="65"/>
  <c r="J12" i="65" s="1"/>
  <c r="I12" i="65"/>
  <c r="E13" i="65"/>
  <c r="I13" i="65"/>
  <c r="E14" i="65"/>
  <c r="I14" i="65"/>
  <c r="E15" i="65"/>
  <c r="I15" i="65"/>
  <c r="J15" i="65" s="1"/>
  <c r="E16" i="65"/>
  <c r="I16" i="65"/>
  <c r="J16" i="65"/>
  <c r="E17" i="65"/>
  <c r="I17" i="65"/>
  <c r="E18" i="65"/>
  <c r="I18" i="65"/>
  <c r="E19" i="65"/>
  <c r="J19" i="65" s="1"/>
  <c r="I19" i="65"/>
  <c r="E20" i="65"/>
  <c r="J20" i="65" s="1"/>
  <c r="I20" i="65"/>
  <c r="E21" i="65"/>
  <c r="I21" i="65"/>
  <c r="E22" i="65"/>
  <c r="I22" i="65"/>
  <c r="E23" i="65"/>
  <c r="I23" i="65"/>
  <c r="J23" i="65" s="1"/>
  <c r="E24" i="65"/>
  <c r="I24" i="65"/>
  <c r="J24" i="65"/>
  <c r="E25" i="65"/>
  <c r="I25" i="65"/>
  <c r="E26" i="65"/>
  <c r="I26" i="65"/>
  <c r="E27" i="65"/>
  <c r="J27" i="65" s="1"/>
  <c r="I27" i="65"/>
  <c r="E28" i="65"/>
  <c r="J28" i="65" s="1"/>
  <c r="I28" i="65"/>
  <c r="E29" i="65"/>
  <c r="I29" i="65"/>
  <c r="E30" i="65"/>
  <c r="I30" i="65"/>
  <c r="E31" i="65"/>
  <c r="I31" i="65"/>
  <c r="J31" i="65" s="1"/>
  <c r="E32" i="65"/>
  <c r="I32" i="65"/>
  <c r="J32" i="65"/>
  <c r="E33" i="65"/>
  <c r="I33" i="65"/>
  <c r="E34" i="65"/>
  <c r="I34" i="65"/>
  <c r="E35" i="65"/>
  <c r="J35" i="65" s="1"/>
  <c r="I35" i="65"/>
  <c r="E36" i="65"/>
  <c r="J36" i="65" s="1"/>
  <c r="I36" i="65"/>
  <c r="E37" i="65"/>
  <c r="I37" i="65"/>
  <c r="E38" i="65"/>
  <c r="I38" i="65"/>
  <c r="E39" i="65"/>
  <c r="I39" i="65"/>
  <c r="J39" i="65" s="1"/>
  <c r="E40" i="65"/>
  <c r="I40" i="65"/>
  <c r="J40" i="65"/>
  <c r="E41" i="65"/>
  <c r="I41" i="65"/>
  <c r="E42" i="65"/>
  <c r="I42" i="65"/>
  <c r="E43" i="65"/>
  <c r="J43" i="65" s="1"/>
  <c r="I43" i="65"/>
  <c r="E44" i="65"/>
  <c r="J44" i="65" s="1"/>
  <c r="I44" i="65"/>
  <c r="E45" i="65"/>
  <c r="I45" i="65"/>
  <c r="E46" i="65"/>
  <c r="I46" i="65"/>
  <c r="K48" i="65"/>
  <c r="D52" i="65"/>
  <c r="D53" i="65"/>
  <c r="D54" i="65"/>
  <c r="D55" i="65"/>
  <c r="D56" i="65"/>
  <c r="D57" i="65"/>
  <c r="D58" i="65"/>
  <c r="D59" i="65"/>
  <c r="D60" i="65"/>
  <c r="D61" i="65"/>
  <c r="D62" i="65"/>
  <c r="D63" i="65"/>
  <c r="D64" i="65"/>
  <c r="D65" i="65"/>
  <c r="D66" i="65"/>
  <c r="D67" i="65"/>
  <c r="D68" i="65"/>
  <c r="D69" i="65"/>
  <c r="D70" i="65"/>
  <c r="D71" i="65"/>
  <c r="D72" i="65"/>
  <c r="D73" i="65"/>
  <c r="D74" i="65"/>
  <c r="D75" i="65"/>
  <c r="D76" i="65"/>
  <c r="D77" i="65"/>
  <c r="D78" i="65"/>
  <c r="D79" i="65"/>
  <c r="D80" i="65"/>
  <c r="D81" i="65"/>
  <c r="D82" i="65"/>
  <c r="D83" i="65"/>
  <c r="D84" i="65"/>
  <c r="D85" i="65"/>
  <c r="D86" i="65"/>
  <c r="D87" i="65"/>
  <c r="D88" i="65"/>
  <c r="D89" i="65"/>
  <c r="D90" i="65"/>
  <c r="D91" i="65"/>
  <c r="D92" i="65"/>
  <c r="D93" i="65"/>
  <c r="D94" i="65"/>
  <c r="E103" i="65"/>
  <c r="I103" i="65"/>
  <c r="J103" i="65" s="1"/>
  <c r="E104" i="65"/>
  <c r="I104" i="65"/>
  <c r="J104" i="65"/>
  <c r="E105" i="65"/>
  <c r="I105" i="65"/>
  <c r="E106" i="65"/>
  <c r="I106" i="65"/>
  <c r="E107" i="65"/>
  <c r="J107" i="65" s="1"/>
  <c r="I107" i="65"/>
  <c r="E108" i="65"/>
  <c r="J108" i="65" s="1"/>
  <c r="I108" i="65"/>
  <c r="E109" i="65"/>
  <c r="I109" i="65"/>
  <c r="E110" i="65"/>
  <c r="I110" i="65"/>
  <c r="E111" i="65"/>
  <c r="I111" i="65"/>
  <c r="J111" i="65" s="1"/>
  <c r="E112" i="65"/>
  <c r="I112" i="65"/>
  <c r="J112" i="65"/>
  <c r="E113" i="65"/>
  <c r="I113" i="65"/>
  <c r="E114" i="65"/>
  <c r="I114" i="65"/>
  <c r="E115" i="65"/>
  <c r="J115" i="65" s="1"/>
  <c r="I115" i="65"/>
  <c r="E116" i="65"/>
  <c r="J116" i="65" s="1"/>
  <c r="I116" i="65"/>
  <c r="E117" i="65"/>
  <c r="I117" i="65"/>
  <c r="E118" i="65"/>
  <c r="I118" i="65"/>
  <c r="K119" i="65"/>
  <c r="D124" i="65"/>
  <c r="D125" i="65"/>
  <c r="D126" i="65"/>
  <c r="D127" i="65"/>
  <c r="D128" i="65"/>
  <c r="D129" i="65"/>
  <c r="D130" i="65"/>
  <c r="D131" i="65"/>
  <c r="D132" i="65"/>
  <c r="D133" i="65"/>
  <c r="D134" i="65"/>
  <c r="D135" i="65"/>
  <c r="D136" i="65"/>
  <c r="D137" i="65"/>
  <c r="D138" i="65"/>
  <c r="D139" i="65"/>
  <c r="G41" i="27" l="1"/>
  <c r="J41" i="27" s="1"/>
  <c r="J117" i="65"/>
  <c r="J114" i="65"/>
  <c r="J109" i="65"/>
  <c r="J106" i="65"/>
  <c r="J45" i="65"/>
  <c r="J42" i="65"/>
  <c r="J37" i="65"/>
  <c r="J34" i="65"/>
  <c r="J29" i="65"/>
  <c r="J26" i="65"/>
  <c r="J21" i="65"/>
  <c r="J18" i="65"/>
  <c r="J13" i="65"/>
  <c r="J10" i="65"/>
  <c r="K32" i="62"/>
  <c r="AF32" i="62" s="1"/>
  <c r="AF303" i="67"/>
  <c r="N24" i="62"/>
  <c r="P24" i="62" s="1"/>
  <c r="AB24" i="62" s="1"/>
  <c r="H486" i="67"/>
  <c r="H488" i="67" s="1"/>
  <c r="H490" i="67" s="1"/>
  <c r="AE275" i="67"/>
  <c r="J118" i="65"/>
  <c r="J113" i="65"/>
  <c r="J110" i="65"/>
  <c r="J105" i="65"/>
  <c r="J46" i="65"/>
  <c r="J41" i="65"/>
  <c r="J38" i="65"/>
  <c r="J33" i="65"/>
  <c r="J30" i="65"/>
  <c r="J25" i="65"/>
  <c r="J22" i="65"/>
  <c r="J17" i="65"/>
  <c r="J14" i="65"/>
  <c r="J9" i="65"/>
  <c r="J6" i="65"/>
  <c r="K21" i="62"/>
  <c r="AF21" i="62" s="1"/>
  <c r="K29" i="62"/>
  <c r="AF29" i="62" s="1"/>
  <c r="K31" i="62"/>
  <c r="AF31" i="62" s="1"/>
  <c r="D484" i="67"/>
  <c r="H484" i="67" s="1"/>
  <c r="N10" i="62"/>
  <c r="P10" i="62" s="1"/>
  <c r="Y10" i="62" s="1"/>
  <c r="K12" i="62"/>
  <c r="AF12" i="62" s="1"/>
  <c r="K13" i="62"/>
  <c r="AF13" i="62" s="1"/>
  <c r="N17" i="62"/>
  <c r="P17" i="62" s="1"/>
  <c r="R17" i="62" s="1"/>
  <c r="N28" i="62"/>
  <c r="P28" i="62" s="1"/>
  <c r="S28" i="62" s="1"/>
  <c r="N29" i="62"/>
  <c r="P29" i="62" s="1"/>
  <c r="N32" i="62"/>
  <c r="P32" i="62" s="1"/>
  <c r="R32" i="62" s="1"/>
  <c r="K23" i="62"/>
  <c r="AF23" i="62" s="1"/>
  <c r="K26" i="62"/>
  <c r="AF26" i="62" s="1"/>
  <c r="K11" i="62"/>
  <c r="AF11" i="62" s="1"/>
  <c r="N12" i="62"/>
  <c r="P12" i="62" s="1"/>
  <c r="AB12" i="62" s="1"/>
  <c r="N14" i="62"/>
  <c r="P14" i="62" s="1"/>
  <c r="N22" i="62"/>
  <c r="P22" i="62" s="1"/>
  <c r="AB22" i="62" s="1"/>
  <c r="N27" i="62"/>
  <c r="P27" i="62" s="1"/>
  <c r="R27" i="62" s="1"/>
  <c r="H239" i="67"/>
  <c r="H241" i="67" s="1"/>
  <c r="H243" i="67" s="1"/>
  <c r="Q303" i="67"/>
  <c r="Y113" i="67"/>
  <c r="Y115" i="67" s="1"/>
  <c r="S71" i="67"/>
  <c r="W71" i="67"/>
  <c r="R74" i="67"/>
  <c r="W74" i="67"/>
  <c r="T18" i="67"/>
  <c r="Z18" i="67"/>
  <c r="S39" i="67"/>
  <c r="U39" i="67"/>
  <c r="U113" i="67" s="1"/>
  <c r="U115" i="67" s="1"/>
  <c r="S70" i="67"/>
  <c r="W70" i="67"/>
  <c r="R20" i="67"/>
  <c r="Z20" i="67"/>
  <c r="S82" i="67"/>
  <c r="Z82" i="67"/>
  <c r="S75" i="67"/>
  <c r="W75" i="67"/>
  <c r="AD114" i="67"/>
  <c r="AE115" i="67" s="1"/>
  <c r="V113" i="67"/>
  <c r="V115" i="67" s="1"/>
  <c r="S27" i="67"/>
  <c r="Z27" i="67"/>
  <c r="R32" i="67"/>
  <c r="Z32" i="67"/>
  <c r="S33" i="67"/>
  <c r="Z33" i="67"/>
  <c r="T23" i="67"/>
  <c r="S23" i="67"/>
  <c r="N303" i="67"/>
  <c r="AF113" i="67"/>
  <c r="M239" i="67"/>
  <c r="L239" i="67"/>
  <c r="L243" i="67" s="1"/>
  <c r="J488" i="67"/>
  <c r="AE303" i="67"/>
  <c r="L336" i="67" s="1"/>
  <c r="AD304" i="67"/>
  <c r="Q305" i="67"/>
  <c r="AD303" i="67"/>
  <c r="N304" i="67" s="1"/>
  <c r="Q115" i="67"/>
  <c r="AB14" i="62"/>
  <c r="Y14" i="62"/>
  <c r="AB10" i="62"/>
  <c r="AB28" i="62"/>
  <c r="N19" i="62"/>
  <c r="P19" i="62" s="1"/>
  <c r="R19" i="62" s="1"/>
  <c r="N26" i="62"/>
  <c r="P26" i="62" s="1"/>
  <c r="AB26" i="62" s="1"/>
  <c r="N9" i="62"/>
  <c r="P9" i="62" s="1"/>
  <c r="Y12" i="62"/>
  <c r="N16" i="62"/>
  <c r="P16" i="62" s="1"/>
  <c r="N18" i="62"/>
  <c r="P18" i="62" s="1"/>
  <c r="N21" i="62"/>
  <c r="P21" i="62" s="1"/>
  <c r="S27" i="62"/>
  <c r="N11" i="62"/>
  <c r="P11" i="62" s="1"/>
  <c r="N13" i="62"/>
  <c r="P13" i="62" s="1"/>
  <c r="N15" i="62"/>
  <c r="P15" i="62" s="1"/>
  <c r="N23" i="62"/>
  <c r="P23" i="62" s="1"/>
  <c r="N25" i="62"/>
  <c r="P25" i="62" s="1"/>
  <c r="N30" i="62"/>
  <c r="P30" i="62" s="1"/>
  <c r="N31" i="62"/>
  <c r="P31" i="62" s="1"/>
  <c r="R31" i="62" s="1"/>
  <c r="K10" i="62"/>
  <c r="AF10" i="62" s="1"/>
  <c r="K15" i="62"/>
  <c r="AF15" i="62" s="1"/>
  <c r="K14" i="62"/>
  <c r="AF14" i="62" s="1"/>
  <c r="K19" i="62"/>
  <c r="AF19" i="62" s="1"/>
  <c r="K25" i="62"/>
  <c r="AF25" i="62" s="1"/>
  <c r="K27" i="62"/>
  <c r="AF27" i="62" s="1"/>
  <c r="K16" i="62"/>
  <c r="AF16" i="62" s="1"/>
  <c r="K22" i="62"/>
  <c r="AF22" i="62" s="1"/>
  <c r="K30" i="62"/>
  <c r="AF30" i="62" s="1"/>
  <c r="K18" i="62"/>
  <c r="AF18" i="62" s="1"/>
  <c r="I34" i="17"/>
  <c r="G43" i="27" l="1"/>
  <c r="R22" i="62"/>
  <c r="N9" i="55"/>
  <c r="L9" i="55"/>
  <c r="L21" i="55"/>
  <c r="J14" i="34"/>
  <c r="AB29" i="62"/>
  <c r="S29" i="62"/>
  <c r="S113" i="67"/>
  <c r="S115" i="67" s="1"/>
  <c r="Z113" i="67"/>
  <c r="Z115" i="67" s="1"/>
  <c r="W113" i="67"/>
  <c r="W115" i="67" s="1"/>
  <c r="R113" i="67"/>
  <c r="R115" i="67" s="1"/>
  <c r="AD116" i="67"/>
  <c r="T113" i="67"/>
  <c r="T115" i="67" s="1"/>
  <c r="AD306" i="67"/>
  <c r="AE305" i="67"/>
  <c r="AD305" i="67"/>
  <c r="AB13" i="62"/>
  <c r="Y13" i="62"/>
  <c r="R18" i="62"/>
  <c r="T18" i="62"/>
  <c r="AB23" i="62"/>
  <c r="T23" i="62"/>
  <c r="AB25" i="62"/>
  <c r="V25" i="62"/>
  <c r="AB11" i="62"/>
  <c r="Y11" i="62"/>
  <c r="R15" i="62"/>
  <c r="Y15" i="62"/>
  <c r="AB9" i="62"/>
  <c r="Y9" i="62"/>
  <c r="J33" i="17"/>
  <c r="J34" i="17"/>
  <c r="P6" i="55"/>
  <c r="P6" i="34"/>
  <c r="P6" i="41"/>
  <c r="P6" i="9"/>
  <c r="P6" i="10"/>
  <c r="P6" i="8"/>
  <c r="P6" i="1"/>
  <c r="P6" i="17"/>
  <c r="J49" i="27"/>
  <c r="P6" i="27"/>
  <c r="P6" i="46"/>
  <c r="P8" i="44"/>
  <c r="L14" i="34" l="1"/>
  <c r="M14" i="34" s="1"/>
  <c r="G44" i="27"/>
  <c r="J44" i="27" s="1"/>
  <c r="J43" i="27"/>
  <c r="AD113" i="67"/>
  <c r="J15" i="46"/>
  <c r="L15" i="46" s="1"/>
  <c r="AD115" i="67" l="1"/>
  <c r="O114" i="67"/>
  <c r="E34" i="64"/>
  <c r="E32" i="64"/>
  <c r="E30" i="64"/>
  <c r="E28" i="64"/>
  <c r="E26" i="64"/>
  <c r="J24" i="64"/>
  <c r="J22" i="64"/>
  <c r="J20" i="64"/>
  <c r="J18" i="64"/>
  <c r="J16" i="64"/>
  <c r="J14" i="64"/>
  <c r="E11" i="64"/>
  <c r="J9" i="64"/>
  <c r="E9" i="64"/>
  <c r="I68" i="63"/>
  <c r="H69" i="63" s="1"/>
  <c r="B68" i="63"/>
  <c r="A68" i="63"/>
  <c r="AZ67" i="63"/>
  <c r="AY67" i="63"/>
  <c r="AX67" i="63"/>
  <c r="AW67" i="63"/>
  <c r="AV67" i="63"/>
  <c r="AU67" i="63"/>
  <c r="AT67" i="63"/>
  <c r="AS67" i="63"/>
  <c r="AR67" i="63"/>
  <c r="AQ67" i="63"/>
  <c r="P67" i="63"/>
  <c r="N67" i="63"/>
  <c r="M67" i="63"/>
  <c r="F67" i="63"/>
  <c r="L67" i="63" s="1"/>
  <c r="AZ66" i="63"/>
  <c r="AY66" i="63"/>
  <c r="AX66" i="63"/>
  <c r="AW66" i="63"/>
  <c r="AV66" i="63"/>
  <c r="AU66" i="63"/>
  <c r="AT66" i="63"/>
  <c r="AS66" i="63"/>
  <c r="AR66" i="63"/>
  <c r="AQ66" i="63"/>
  <c r="H66" i="63" s="1"/>
  <c r="P66" i="63"/>
  <c r="N66" i="63"/>
  <c r="M66" i="63"/>
  <c r="L66" i="63"/>
  <c r="F66" i="63"/>
  <c r="AZ65" i="63"/>
  <c r="AY65" i="63"/>
  <c r="AX65" i="63"/>
  <c r="AW65" i="63"/>
  <c r="AV65" i="63"/>
  <c r="AU65" i="63"/>
  <c r="AT65" i="63"/>
  <c r="AS65" i="63"/>
  <c r="AR65" i="63"/>
  <c r="AQ65" i="63"/>
  <c r="P65" i="63"/>
  <c r="N65" i="63"/>
  <c r="F65" i="63"/>
  <c r="M65" i="63" s="1"/>
  <c r="AZ64" i="63"/>
  <c r="AY64" i="63"/>
  <c r="AX64" i="63"/>
  <c r="AW64" i="63"/>
  <c r="AV64" i="63"/>
  <c r="AU64" i="63"/>
  <c r="AT64" i="63"/>
  <c r="AS64" i="63"/>
  <c r="AR64" i="63"/>
  <c r="AQ64" i="63"/>
  <c r="P64" i="63"/>
  <c r="N64" i="63"/>
  <c r="F64" i="63"/>
  <c r="M64" i="63" s="1"/>
  <c r="AZ63" i="63"/>
  <c r="AY63" i="63"/>
  <c r="AX63" i="63"/>
  <c r="AW63" i="63"/>
  <c r="AV63" i="63"/>
  <c r="AU63" i="63"/>
  <c r="AT63" i="63"/>
  <c r="AS63" i="63"/>
  <c r="AR63" i="63"/>
  <c r="AQ63" i="63"/>
  <c r="P63" i="63"/>
  <c r="N63" i="63"/>
  <c r="M63" i="63"/>
  <c r="F63" i="63"/>
  <c r="L63" i="63" s="1"/>
  <c r="AZ62" i="63"/>
  <c r="AY62" i="63"/>
  <c r="AX62" i="63"/>
  <c r="AW62" i="63"/>
  <c r="AV62" i="63"/>
  <c r="AU62" i="63"/>
  <c r="AT62" i="63"/>
  <c r="AS62" i="63"/>
  <c r="AR62" i="63"/>
  <c r="AQ62" i="63"/>
  <c r="H62" i="63" s="1"/>
  <c r="P62" i="63"/>
  <c r="N62" i="63"/>
  <c r="M62" i="63"/>
  <c r="L62" i="63"/>
  <c r="F62" i="63"/>
  <c r="AZ61" i="63"/>
  <c r="AY61" i="63"/>
  <c r="AX61" i="63"/>
  <c r="AW61" i="63"/>
  <c r="AV61" i="63"/>
  <c r="AU61" i="63"/>
  <c r="AT61" i="63"/>
  <c r="AS61" i="63"/>
  <c r="AR61" i="63"/>
  <c r="AQ61" i="63"/>
  <c r="P61" i="63"/>
  <c r="N61" i="63"/>
  <c r="F61" i="63"/>
  <c r="M61" i="63" s="1"/>
  <c r="AZ60" i="63"/>
  <c r="AY60" i="63"/>
  <c r="AX60" i="63"/>
  <c r="AW60" i="63"/>
  <c r="AV60" i="63"/>
  <c r="AU60" i="63"/>
  <c r="AT60" i="63"/>
  <c r="AS60" i="63"/>
  <c r="AR60" i="63"/>
  <c r="AQ60" i="63"/>
  <c r="P60" i="63"/>
  <c r="N60" i="63"/>
  <c r="F60" i="63"/>
  <c r="M60" i="63" s="1"/>
  <c r="AZ59" i="63"/>
  <c r="AY59" i="63"/>
  <c r="AX59" i="63"/>
  <c r="AW59" i="63"/>
  <c r="AV59" i="63"/>
  <c r="AU59" i="63"/>
  <c r="AT59" i="63"/>
  <c r="AS59" i="63"/>
  <c r="AR59" i="63"/>
  <c r="AQ59" i="63"/>
  <c r="P59" i="63"/>
  <c r="N59" i="63"/>
  <c r="M59" i="63"/>
  <c r="F59" i="63"/>
  <c r="L59" i="63" s="1"/>
  <c r="AZ58" i="63"/>
  <c r="AY58" i="63"/>
  <c r="AX58" i="63"/>
  <c r="AW58" i="63"/>
  <c r="AV58" i="63"/>
  <c r="AU58" i="63"/>
  <c r="AT58" i="63"/>
  <c r="AS58" i="63"/>
  <c r="AR58" i="63"/>
  <c r="AQ58" i="63"/>
  <c r="H58" i="63" s="1"/>
  <c r="P58" i="63"/>
  <c r="N58" i="63"/>
  <c r="M58" i="63"/>
  <c r="L58" i="63"/>
  <c r="F58" i="63"/>
  <c r="AZ57" i="63"/>
  <c r="AY57" i="63"/>
  <c r="AX57" i="63"/>
  <c r="AW57" i="63"/>
  <c r="AV57" i="63"/>
  <c r="AU57" i="63"/>
  <c r="AT57" i="63"/>
  <c r="AS57" i="63"/>
  <c r="AR57" i="63"/>
  <c r="AQ57" i="63"/>
  <c r="P57" i="63"/>
  <c r="N57" i="63"/>
  <c r="F57" i="63"/>
  <c r="M57" i="63" s="1"/>
  <c r="AZ56" i="63"/>
  <c r="AY56" i="63"/>
  <c r="AX56" i="63"/>
  <c r="AW56" i="63"/>
  <c r="AV56" i="63"/>
  <c r="AU56" i="63"/>
  <c r="AT56" i="63"/>
  <c r="AS56" i="63"/>
  <c r="AR56" i="63"/>
  <c r="AQ56" i="63"/>
  <c r="P56" i="63"/>
  <c r="N56" i="63"/>
  <c r="F56" i="63"/>
  <c r="M56" i="63" s="1"/>
  <c r="AZ55" i="63"/>
  <c r="AY55" i="63"/>
  <c r="AX55" i="63"/>
  <c r="AW55" i="63"/>
  <c r="AV55" i="63"/>
  <c r="AU55" i="63"/>
  <c r="AT55" i="63"/>
  <c r="AS55" i="63"/>
  <c r="AR55" i="63"/>
  <c r="AQ55" i="63"/>
  <c r="P55" i="63"/>
  <c r="N55" i="63"/>
  <c r="M55" i="63"/>
  <c r="F55" i="63"/>
  <c r="L55" i="63" s="1"/>
  <c r="AZ54" i="63"/>
  <c r="AY54" i="63"/>
  <c r="AX54" i="63"/>
  <c r="AW54" i="63"/>
  <c r="AV54" i="63"/>
  <c r="AU54" i="63"/>
  <c r="AT54" i="63"/>
  <c r="AS54" i="63"/>
  <c r="AR54" i="63"/>
  <c r="AQ54" i="63"/>
  <c r="P54" i="63"/>
  <c r="N54" i="63"/>
  <c r="M54" i="63"/>
  <c r="L54" i="63"/>
  <c r="F54" i="63"/>
  <c r="AZ53" i="63"/>
  <c r="AY53" i="63"/>
  <c r="AX53" i="63"/>
  <c r="AW53" i="63"/>
  <c r="AV53" i="63"/>
  <c r="AU53" i="63"/>
  <c r="AT53" i="63"/>
  <c r="AS53" i="63"/>
  <c r="AR53" i="63"/>
  <c r="AQ53" i="63"/>
  <c r="P53" i="63"/>
  <c r="N53" i="63"/>
  <c r="F53" i="63"/>
  <c r="M53" i="63" s="1"/>
  <c r="AZ52" i="63"/>
  <c r="AY52" i="63"/>
  <c r="AX52" i="63"/>
  <c r="AW52" i="63"/>
  <c r="AV52" i="63"/>
  <c r="AU52" i="63"/>
  <c r="AT52" i="63"/>
  <c r="AS52" i="63"/>
  <c r="AR52" i="63"/>
  <c r="AQ52" i="63"/>
  <c r="P52" i="63"/>
  <c r="N52" i="63"/>
  <c r="F52" i="63"/>
  <c r="AZ51" i="63"/>
  <c r="AY51" i="63"/>
  <c r="AX51" i="63"/>
  <c r="AW51" i="63"/>
  <c r="AV51" i="63"/>
  <c r="AU51" i="63"/>
  <c r="AT51" i="63"/>
  <c r="AS51" i="63"/>
  <c r="AR51" i="63"/>
  <c r="AQ51" i="63"/>
  <c r="P51" i="63"/>
  <c r="N51" i="63"/>
  <c r="M51" i="63"/>
  <c r="F51" i="63"/>
  <c r="L51" i="63" s="1"/>
  <c r="AZ50" i="63"/>
  <c r="AY50" i="63"/>
  <c r="AX50" i="63"/>
  <c r="AW50" i="63"/>
  <c r="AV50" i="63"/>
  <c r="AU50" i="63"/>
  <c r="AT50" i="63"/>
  <c r="AS50" i="63"/>
  <c r="AR50" i="63"/>
  <c r="AQ50" i="63"/>
  <c r="P50" i="63"/>
  <c r="N50" i="63"/>
  <c r="F50" i="63"/>
  <c r="M50" i="63" s="1"/>
  <c r="AZ49" i="63"/>
  <c r="AY49" i="63"/>
  <c r="AX49" i="63"/>
  <c r="AW49" i="63"/>
  <c r="AV49" i="63"/>
  <c r="AU49" i="63"/>
  <c r="AT49" i="63"/>
  <c r="AS49" i="63"/>
  <c r="AR49" i="63"/>
  <c r="AQ49" i="63"/>
  <c r="P49" i="63"/>
  <c r="N49" i="63"/>
  <c r="F49" i="63"/>
  <c r="M49" i="63" s="1"/>
  <c r="AZ48" i="63"/>
  <c r="AY48" i="63"/>
  <c r="AX48" i="63"/>
  <c r="AW48" i="63"/>
  <c r="AV48" i="63"/>
  <c r="AU48" i="63"/>
  <c r="AT48" i="63"/>
  <c r="AS48" i="63"/>
  <c r="AR48" i="63"/>
  <c r="AQ48" i="63"/>
  <c r="P48" i="63"/>
  <c r="N48" i="63"/>
  <c r="F48" i="63"/>
  <c r="AZ47" i="63"/>
  <c r="AY47" i="63"/>
  <c r="AX47" i="63"/>
  <c r="AW47" i="63"/>
  <c r="AV47" i="63"/>
  <c r="AU47" i="63"/>
  <c r="AT47" i="63"/>
  <c r="AS47" i="63"/>
  <c r="AR47" i="63"/>
  <c r="AQ47" i="63"/>
  <c r="P47" i="63"/>
  <c r="N47" i="63"/>
  <c r="F47" i="63"/>
  <c r="L47" i="63" s="1"/>
  <c r="AZ46" i="63"/>
  <c r="AY46" i="63"/>
  <c r="AX46" i="63"/>
  <c r="AW46" i="63"/>
  <c r="AV46" i="63"/>
  <c r="AU46" i="63"/>
  <c r="AT46" i="63"/>
  <c r="AS46" i="63"/>
  <c r="AR46" i="63"/>
  <c r="AQ46" i="63"/>
  <c r="P46" i="63"/>
  <c r="N46" i="63"/>
  <c r="F46" i="63"/>
  <c r="M46" i="63" s="1"/>
  <c r="AZ45" i="63"/>
  <c r="AY45" i="63"/>
  <c r="AX45" i="63"/>
  <c r="AW45" i="63"/>
  <c r="AV45" i="63"/>
  <c r="AU45" i="63"/>
  <c r="AT45" i="63"/>
  <c r="AS45" i="63"/>
  <c r="AR45" i="63"/>
  <c r="AQ45" i="63"/>
  <c r="P45" i="63"/>
  <c r="N45" i="63"/>
  <c r="F45" i="63"/>
  <c r="M45" i="63" s="1"/>
  <c r="AZ44" i="63"/>
  <c r="AY44" i="63"/>
  <c r="AX44" i="63"/>
  <c r="AW44" i="63"/>
  <c r="AV44" i="63"/>
  <c r="AU44" i="63"/>
  <c r="AT44" i="63"/>
  <c r="AS44" i="63"/>
  <c r="AR44" i="63"/>
  <c r="AQ44" i="63"/>
  <c r="P44" i="63"/>
  <c r="N44" i="63"/>
  <c r="F44" i="63"/>
  <c r="AZ43" i="63"/>
  <c r="AY43" i="63"/>
  <c r="AX43" i="63"/>
  <c r="AW43" i="63"/>
  <c r="AV43" i="63"/>
  <c r="AU43" i="63"/>
  <c r="AT43" i="63"/>
  <c r="AS43" i="63"/>
  <c r="AR43" i="63"/>
  <c r="AQ43" i="63"/>
  <c r="P43" i="63"/>
  <c r="N43" i="63"/>
  <c r="F43" i="63"/>
  <c r="L43" i="63" s="1"/>
  <c r="AZ42" i="63"/>
  <c r="AY42" i="63"/>
  <c r="AX42" i="63"/>
  <c r="AW42" i="63"/>
  <c r="AV42" i="63"/>
  <c r="AU42" i="63"/>
  <c r="AT42" i="63"/>
  <c r="AS42" i="63"/>
  <c r="AR42" i="63"/>
  <c r="AQ42" i="63"/>
  <c r="P42" i="63"/>
  <c r="N42" i="63"/>
  <c r="M42" i="63"/>
  <c r="L42" i="63"/>
  <c r="F42" i="63"/>
  <c r="AZ41" i="63"/>
  <c r="AY41" i="63"/>
  <c r="AX41" i="63"/>
  <c r="AW41" i="63"/>
  <c r="AV41" i="63"/>
  <c r="AU41" i="63"/>
  <c r="AT41" i="63"/>
  <c r="AS41" i="63"/>
  <c r="AR41" i="63"/>
  <c r="AQ41" i="63"/>
  <c r="P41" i="63"/>
  <c r="N41" i="63"/>
  <c r="F41" i="63"/>
  <c r="M41" i="63" s="1"/>
  <c r="AZ40" i="63"/>
  <c r="AY40" i="63"/>
  <c r="AX40" i="63"/>
  <c r="AW40" i="63"/>
  <c r="AV40" i="63"/>
  <c r="AU40" i="63"/>
  <c r="AT40" i="63"/>
  <c r="AS40" i="63"/>
  <c r="AR40" i="63"/>
  <c r="AQ40" i="63"/>
  <c r="P40" i="63"/>
  <c r="N40" i="63"/>
  <c r="F40" i="63"/>
  <c r="AZ39" i="63"/>
  <c r="AY39" i="63"/>
  <c r="AX39" i="63"/>
  <c r="AW39" i="63"/>
  <c r="AV39" i="63"/>
  <c r="AU39" i="63"/>
  <c r="AT39" i="63"/>
  <c r="AS39" i="63"/>
  <c r="AR39" i="63"/>
  <c r="AQ39" i="63"/>
  <c r="P39" i="63"/>
  <c r="N39" i="63"/>
  <c r="F39" i="63"/>
  <c r="L39" i="63" s="1"/>
  <c r="AZ38" i="63"/>
  <c r="AY38" i="63"/>
  <c r="AX38" i="63"/>
  <c r="AW38" i="63"/>
  <c r="AV38" i="63"/>
  <c r="AU38" i="63"/>
  <c r="AT38" i="63"/>
  <c r="AS38" i="63"/>
  <c r="AR38" i="63"/>
  <c r="AQ38" i="63"/>
  <c r="P38" i="63"/>
  <c r="N38" i="63"/>
  <c r="M38" i="63"/>
  <c r="L38" i="63"/>
  <c r="F38" i="63"/>
  <c r="AZ37" i="63"/>
  <c r="AY37" i="63"/>
  <c r="AX37" i="63"/>
  <c r="AW37" i="63"/>
  <c r="AV37" i="63"/>
  <c r="AU37" i="63"/>
  <c r="AT37" i="63"/>
  <c r="AS37" i="63"/>
  <c r="AR37" i="63"/>
  <c r="AQ37" i="63"/>
  <c r="P37" i="63"/>
  <c r="N37" i="63"/>
  <c r="F37" i="63"/>
  <c r="M37" i="63" s="1"/>
  <c r="AZ36" i="63"/>
  <c r="AY36" i="63"/>
  <c r="AX36" i="63"/>
  <c r="AW36" i="63"/>
  <c r="AV36" i="63"/>
  <c r="AU36" i="63"/>
  <c r="AT36" i="63"/>
  <c r="AS36" i="63"/>
  <c r="AR36" i="63"/>
  <c r="AQ36" i="63"/>
  <c r="P36" i="63"/>
  <c r="N36" i="63"/>
  <c r="F36" i="63"/>
  <c r="AZ35" i="63"/>
  <c r="AY35" i="63"/>
  <c r="AX35" i="63"/>
  <c r="AW35" i="63"/>
  <c r="AV35" i="63"/>
  <c r="AU35" i="63"/>
  <c r="AT35" i="63"/>
  <c r="AS35" i="63"/>
  <c r="AR35" i="63"/>
  <c r="AQ35" i="63"/>
  <c r="P35" i="63"/>
  <c r="N35" i="63"/>
  <c r="M35" i="63"/>
  <c r="F35" i="63"/>
  <c r="L35" i="63" s="1"/>
  <c r="AZ34" i="63"/>
  <c r="AY34" i="63"/>
  <c r="AX34" i="63"/>
  <c r="AW34" i="63"/>
  <c r="AV34" i="63"/>
  <c r="AU34" i="63"/>
  <c r="AT34" i="63"/>
  <c r="AS34" i="63"/>
  <c r="AR34" i="63"/>
  <c r="AQ34" i="63"/>
  <c r="P34" i="63"/>
  <c r="N34" i="63"/>
  <c r="F34" i="63"/>
  <c r="M34" i="63" s="1"/>
  <c r="AZ33" i="63"/>
  <c r="AY33" i="63"/>
  <c r="AX33" i="63"/>
  <c r="AW33" i="63"/>
  <c r="AV33" i="63"/>
  <c r="AU33" i="63"/>
  <c r="AT33" i="63"/>
  <c r="AS33" i="63"/>
  <c r="AR33" i="63"/>
  <c r="AQ33" i="63"/>
  <c r="P33" i="63"/>
  <c r="N33" i="63"/>
  <c r="F33" i="63"/>
  <c r="M33" i="63" s="1"/>
  <c r="AZ32" i="63"/>
  <c r="AY32" i="63"/>
  <c r="AX32" i="63"/>
  <c r="AW32" i="63"/>
  <c r="AV32" i="63"/>
  <c r="AU32" i="63"/>
  <c r="AT32" i="63"/>
  <c r="AS32" i="63"/>
  <c r="AR32" i="63"/>
  <c r="AQ32" i="63"/>
  <c r="P32" i="63"/>
  <c r="N32" i="63"/>
  <c r="F32" i="63"/>
  <c r="AZ31" i="63"/>
  <c r="AY31" i="63"/>
  <c r="AX31" i="63"/>
  <c r="AW31" i="63"/>
  <c r="AV31" i="63"/>
  <c r="AU31" i="63"/>
  <c r="AT31" i="63"/>
  <c r="AS31" i="63"/>
  <c r="AR31" i="63"/>
  <c r="AQ31" i="63"/>
  <c r="P31" i="63"/>
  <c r="N31" i="63"/>
  <c r="F31" i="63"/>
  <c r="L31" i="63" s="1"/>
  <c r="AZ30" i="63"/>
  <c r="AY30" i="63"/>
  <c r="AX30" i="63"/>
  <c r="AW30" i="63"/>
  <c r="AV30" i="63"/>
  <c r="AU30" i="63"/>
  <c r="AT30" i="63"/>
  <c r="AS30" i="63"/>
  <c r="AR30" i="63"/>
  <c r="AQ30" i="63"/>
  <c r="P30" i="63"/>
  <c r="N30" i="63"/>
  <c r="F30" i="63"/>
  <c r="M30" i="63" s="1"/>
  <c r="AZ29" i="63"/>
  <c r="AY29" i="63"/>
  <c r="AX29" i="63"/>
  <c r="AW29" i="63"/>
  <c r="AV29" i="63"/>
  <c r="AU29" i="63"/>
  <c r="AT29" i="63"/>
  <c r="AS29" i="63"/>
  <c r="AR29" i="63"/>
  <c r="AQ29" i="63"/>
  <c r="P29" i="63"/>
  <c r="N29" i="63"/>
  <c r="F29" i="63"/>
  <c r="AZ28" i="63"/>
  <c r="AY28" i="63"/>
  <c r="AX28" i="63"/>
  <c r="AW28" i="63"/>
  <c r="AV28" i="63"/>
  <c r="AU28" i="63"/>
  <c r="AT28" i="63"/>
  <c r="AS28" i="63"/>
  <c r="AR28" i="63"/>
  <c r="AQ28" i="63"/>
  <c r="P28" i="63"/>
  <c r="N28" i="63"/>
  <c r="F28" i="63"/>
  <c r="AZ27" i="63"/>
  <c r="AY27" i="63"/>
  <c r="AX27" i="63"/>
  <c r="AW27" i="63"/>
  <c r="AV27" i="63"/>
  <c r="AU27" i="63"/>
  <c r="AT27" i="63"/>
  <c r="AS27" i="63"/>
  <c r="AR27" i="63"/>
  <c r="AQ27" i="63"/>
  <c r="P27" i="63"/>
  <c r="N27" i="63"/>
  <c r="F27" i="63"/>
  <c r="L27" i="63" s="1"/>
  <c r="AZ26" i="63"/>
  <c r="AY26" i="63"/>
  <c r="AX26" i="63"/>
  <c r="AW26" i="63"/>
  <c r="AV26" i="63"/>
  <c r="AU26" i="63"/>
  <c r="AT26" i="63"/>
  <c r="AS26" i="63"/>
  <c r="AR26" i="63"/>
  <c r="AQ26" i="63"/>
  <c r="P26" i="63"/>
  <c r="N26" i="63"/>
  <c r="M26" i="63"/>
  <c r="F26" i="63"/>
  <c r="L26" i="63" s="1"/>
  <c r="AZ25" i="63"/>
  <c r="AY25" i="63"/>
  <c r="AX25" i="63"/>
  <c r="AW25" i="63"/>
  <c r="AV25" i="63"/>
  <c r="AU25" i="63"/>
  <c r="AT25" i="63"/>
  <c r="AS25" i="63"/>
  <c r="AR25" i="63"/>
  <c r="AQ25" i="63"/>
  <c r="P25" i="63"/>
  <c r="N25" i="63"/>
  <c r="F25" i="63"/>
  <c r="AZ24" i="63"/>
  <c r="AY24" i="63"/>
  <c r="AX24" i="63"/>
  <c r="AW24" i="63"/>
  <c r="AV24" i="63"/>
  <c r="AU24" i="63"/>
  <c r="AT24" i="63"/>
  <c r="AS24" i="63"/>
  <c r="AR24" i="63"/>
  <c r="AQ24" i="63"/>
  <c r="P24" i="63"/>
  <c r="N24" i="63"/>
  <c r="F24" i="63"/>
  <c r="AZ23" i="63"/>
  <c r="AY23" i="63"/>
  <c r="AX23" i="63"/>
  <c r="AW23" i="63"/>
  <c r="AV23" i="63"/>
  <c r="AU23" i="63"/>
  <c r="AT23" i="63"/>
  <c r="AS23" i="63"/>
  <c r="AR23" i="63"/>
  <c r="AQ23" i="63"/>
  <c r="P23" i="63"/>
  <c r="N23" i="63"/>
  <c r="F23" i="63"/>
  <c r="L23" i="63" s="1"/>
  <c r="AZ22" i="63"/>
  <c r="AY22" i="63"/>
  <c r="AX22" i="63"/>
  <c r="AW22" i="63"/>
  <c r="AV22" i="63"/>
  <c r="AU22" i="63"/>
  <c r="AT22" i="63"/>
  <c r="AS22" i="63"/>
  <c r="AR22" i="63"/>
  <c r="AQ22" i="63"/>
  <c r="P22" i="63"/>
  <c r="N22" i="63"/>
  <c r="M22" i="63"/>
  <c r="L22" i="63"/>
  <c r="F22" i="63"/>
  <c r="L17" i="63"/>
  <c r="O16" i="63"/>
  <c r="BT15" i="63"/>
  <c r="BS15" i="63"/>
  <c r="BR15" i="63"/>
  <c r="BQ15" i="63"/>
  <c r="BP15" i="63"/>
  <c r="BO15" i="63"/>
  <c r="BN15" i="63"/>
  <c r="BM15" i="63"/>
  <c r="BL15" i="63"/>
  <c r="BK15" i="63"/>
  <c r="BJ15" i="63"/>
  <c r="BI15" i="63"/>
  <c r="BH15" i="63"/>
  <c r="BG15" i="63"/>
  <c r="BF15" i="63"/>
  <c r="BE15" i="63"/>
  <c r="BD15" i="63"/>
  <c r="BC15" i="63"/>
  <c r="BB15" i="63"/>
  <c r="BA15" i="63"/>
  <c r="AZ15" i="63"/>
  <c r="AY15" i="63"/>
  <c r="AX15" i="63"/>
  <c r="AW15" i="63"/>
  <c r="N15" i="63" s="1"/>
  <c r="P15" i="63" s="1"/>
  <c r="AV15" i="63"/>
  <c r="AU15" i="63"/>
  <c r="AG15" i="63"/>
  <c r="AE15" i="63"/>
  <c r="AC15" i="63"/>
  <c r="AB15" i="63"/>
  <c r="AA15" i="63"/>
  <c r="Z15" i="63"/>
  <c r="Y15" i="63"/>
  <c r="X15" i="63"/>
  <c r="W15" i="63"/>
  <c r="V15" i="63"/>
  <c r="U15" i="63"/>
  <c r="T15" i="63"/>
  <c r="S15" i="63"/>
  <c r="R15" i="63"/>
  <c r="Q15" i="63"/>
  <c r="J15" i="63"/>
  <c r="F15" i="63"/>
  <c r="K15" i="63" s="1"/>
  <c r="AF15" i="63" s="1"/>
  <c r="BT14" i="63"/>
  <c r="BS14" i="63"/>
  <c r="BR14" i="63"/>
  <c r="BQ14" i="63"/>
  <c r="BP14" i="63"/>
  <c r="BO14" i="63"/>
  <c r="BN14" i="63"/>
  <c r="BM14" i="63"/>
  <c r="BL14" i="63"/>
  <c r="BK14" i="63"/>
  <c r="BJ14" i="63"/>
  <c r="BI14" i="63"/>
  <c r="BH14" i="63"/>
  <c r="BG14" i="63"/>
  <c r="BF14" i="63"/>
  <c r="BE14" i="63"/>
  <c r="BD14" i="63"/>
  <c r="BC14" i="63"/>
  <c r="BB14" i="63"/>
  <c r="BA14" i="63"/>
  <c r="AZ14" i="63"/>
  <c r="AY14" i="63"/>
  <c r="AX14" i="63"/>
  <c r="AW14" i="63"/>
  <c r="N14" i="63" s="1"/>
  <c r="P14" i="63" s="1"/>
  <c r="AV14" i="63"/>
  <c r="AU14" i="63"/>
  <c r="AG14" i="63"/>
  <c r="AE14" i="63"/>
  <c r="AC14" i="63"/>
  <c r="AB14" i="63"/>
  <c r="AA14" i="63"/>
  <c r="Z14" i="63"/>
  <c r="Y14" i="63"/>
  <c r="X14" i="63"/>
  <c r="W14" i="63"/>
  <c r="V14" i="63"/>
  <c r="U14" i="63"/>
  <c r="T14" i="63"/>
  <c r="S14" i="63"/>
  <c r="R14" i="63"/>
  <c r="Q14" i="63"/>
  <c r="J14" i="63"/>
  <c r="K14" i="63" s="1"/>
  <c r="AF14" i="63" s="1"/>
  <c r="F14" i="63"/>
  <c r="BT13" i="63"/>
  <c r="BS13" i="63"/>
  <c r="BR13" i="63"/>
  <c r="BQ13" i="63"/>
  <c r="BP13" i="63"/>
  <c r="BO13" i="63"/>
  <c r="BN13" i="63"/>
  <c r="BM13" i="63"/>
  <c r="BL13" i="63"/>
  <c r="BK13" i="63"/>
  <c r="BJ13" i="63"/>
  <c r="BI13" i="63"/>
  <c r="BH13" i="63"/>
  <c r="BG13" i="63"/>
  <c r="BF13" i="63"/>
  <c r="BE13" i="63"/>
  <c r="BD13" i="63"/>
  <c r="BC13" i="63"/>
  <c r="BB13" i="63"/>
  <c r="BA13" i="63"/>
  <c r="AZ13" i="63"/>
  <c r="AY13" i="63"/>
  <c r="AX13" i="63"/>
  <c r="AW13" i="63"/>
  <c r="AV13" i="63"/>
  <c r="AU13" i="63"/>
  <c r="AG13" i="63"/>
  <c r="AE13" i="63"/>
  <c r="AC13" i="63"/>
  <c r="AB13" i="63"/>
  <c r="AA13" i="63"/>
  <c r="Y13" i="63"/>
  <c r="X13" i="63"/>
  <c r="W13" i="63"/>
  <c r="V13" i="63"/>
  <c r="U13" i="63"/>
  <c r="T13" i="63"/>
  <c r="S13" i="63"/>
  <c r="R13" i="63"/>
  <c r="Q13" i="63"/>
  <c r="J13" i="63"/>
  <c r="F13" i="63"/>
  <c r="K13" i="63" s="1"/>
  <c r="AF13" i="63" s="1"/>
  <c r="BT12" i="63"/>
  <c r="BS12" i="63"/>
  <c r="BR12" i="63"/>
  <c r="BQ12" i="63"/>
  <c r="BP12" i="63"/>
  <c r="BO12" i="63"/>
  <c r="BN12" i="63"/>
  <c r="BM12" i="63"/>
  <c r="BL12" i="63"/>
  <c r="BK12" i="63"/>
  <c r="BJ12" i="63"/>
  <c r="BI12" i="63"/>
  <c r="BH12" i="63"/>
  <c r="BG12" i="63"/>
  <c r="BF12" i="63"/>
  <c r="BE12" i="63"/>
  <c r="BD12" i="63"/>
  <c r="BC12" i="63"/>
  <c r="BB12" i="63"/>
  <c r="BA12" i="63"/>
  <c r="AZ12" i="63"/>
  <c r="AY12" i="63"/>
  <c r="AX12" i="63"/>
  <c r="AW12" i="63"/>
  <c r="AV12" i="63"/>
  <c r="AU12" i="63"/>
  <c r="AG12" i="63"/>
  <c r="AE12" i="63"/>
  <c r="AC12" i="63"/>
  <c r="AB12" i="63"/>
  <c r="AA12" i="63"/>
  <c r="Z12" i="63"/>
  <c r="Y12" i="63"/>
  <c r="X12" i="63"/>
  <c r="W12" i="63"/>
  <c r="U12" i="63"/>
  <c r="T12" i="63"/>
  <c r="S12" i="63"/>
  <c r="R12" i="63"/>
  <c r="Q12" i="63"/>
  <c r="J12" i="63"/>
  <c r="F12" i="63"/>
  <c r="BT11" i="63"/>
  <c r="BS11" i="63"/>
  <c r="BR11" i="63"/>
  <c r="BQ11" i="63"/>
  <c r="BP11" i="63"/>
  <c r="BO11" i="63"/>
  <c r="BN11" i="63"/>
  <c r="BM11" i="63"/>
  <c r="BL11" i="63"/>
  <c r="BK11" i="63"/>
  <c r="BJ11" i="63"/>
  <c r="BI11" i="63"/>
  <c r="BH11" i="63"/>
  <c r="BG11" i="63"/>
  <c r="BF11" i="63"/>
  <c r="BE11" i="63"/>
  <c r="BD11" i="63"/>
  <c r="BC11" i="63"/>
  <c r="BB11" i="63"/>
  <c r="BA11" i="63"/>
  <c r="AZ11" i="63"/>
  <c r="AY11" i="63"/>
  <c r="AX11" i="63"/>
  <c r="AW11" i="63"/>
  <c r="AV11" i="63"/>
  <c r="AU11" i="63"/>
  <c r="AG11" i="63"/>
  <c r="AE11" i="63"/>
  <c r="AC11" i="63"/>
  <c r="AB11" i="63"/>
  <c r="AA11" i="63"/>
  <c r="Z11" i="63"/>
  <c r="Y11" i="63"/>
  <c r="X11" i="63"/>
  <c r="W11" i="63"/>
  <c r="V11" i="63"/>
  <c r="T11" i="63"/>
  <c r="S11" i="63"/>
  <c r="R11" i="63"/>
  <c r="Q11" i="63"/>
  <c r="J11" i="63"/>
  <c r="F11" i="63"/>
  <c r="K11" i="63" s="1"/>
  <c r="AF11" i="63" s="1"/>
  <c r="BT10" i="63"/>
  <c r="BS10" i="63"/>
  <c r="BR10" i="63"/>
  <c r="BQ10" i="63"/>
  <c r="BP10" i="63"/>
  <c r="BO10" i="63"/>
  <c r="BN10" i="63"/>
  <c r="BM10" i="63"/>
  <c r="BL10" i="63"/>
  <c r="BK10" i="63"/>
  <c r="BJ10" i="63"/>
  <c r="BI10" i="63"/>
  <c r="BH10" i="63"/>
  <c r="BG10" i="63"/>
  <c r="BF10" i="63"/>
  <c r="BE10" i="63"/>
  <c r="BD10" i="63"/>
  <c r="BC10" i="63"/>
  <c r="BB10" i="63"/>
  <c r="BA10" i="63"/>
  <c r="AZ10" i="63"/>
  <c r="AY10" i="63"/>
  <c r="AX10" i="63"/>
  <c r="AW10" i="63"/>
  <c r="AV10" i="63"/>
  <c r="N10" i="63" s="1"/>
  <c r="P10" i="63" s="1"/>
  <c r="T10" i="63" s="1"/>
  <c r="AU10" i="63"/>
  <c r="AG10" i="63"/>
  <c r="AE10" i="63"/>
  <c r="AC10" i="63"/>
  <c r="AB10" i="63"/>
  <c r="AA10" i="63"/>
  <c r="Z10" i="63"/>
  <c r="Y10" i="63"/>
  <c r="X10" i="63"/>
  <c r="W10" i="63"/>
  <c r="V10" i="63"/>
  <c r="U10" i="63"/>
  <c r="S10" i="63"/>
  <c r="R10" i="63"/>
  <c r="Q10" i="63"/>
  <c r="J10" i="63"/>
  <c r="F10" i="63"/>
  <c r="K10" i="63" s="1"/>
  <c r="AF10" i="63" s="1"/>
  <c r="BT9" i="63"/>
  <c r="BS9" i="63"/>
  <c r="BR9" i="63"/>
  <c r="BQ9" i="63"/>
  <c r="BP9" i="63"/>
  <c r="BO9" i="63"/>
  <c r="BN9" i="63"/>
  <c r="BM9" i="63"/>
  <c r="BL9" i="63"/>
  <c r="BK9" i="63"/>
  <c r="BJ9" i="63"/>
  <c r="BI9" i="63"/>
  <c r="BH9" i="63"/>
  <c r="BG9" i="63"/>
  <c r="BF9" i="63"/>
  <c r="BE9" i="63"/>
  <c r="BD9" i="63"/>
  <c r="BC9" i="63"/>
  <c r="BB9" i="63"/>
  <c r="BA9" i="63"/>
  <c r="AZ9" i="63"/>
  <c r="AY9" i="63"/>
  <c r="AX9" i="63"/>
  <c r="AW9" i="63"/>
  <c r="AV9" i="63"/>
  <c r="AU9" i="63"/>
  <c r="AG9" i="63"/>
  <c r="AE9" i="63"/>
  <c r="AC9" i="63"/>
  <c r="AB9" i="63"/>
  <c r="AA9" i="63"/>
  <c r="Z9" i="63"/>
  <c r="Y9" i="63"/>
  <c r="X9" i="63"/>
  <c r="W9" i="63"/>
  <c r="V9" i="63"/>
  <c r="U9" i="63"/>
  <c r="T9" i="63"/>
  <c r="R9" i="63"/>
  <c r="Q9" i="63"/>
  <c r="J9" i="63"/>
  <c r="F9" i="63"/>
  <c r="K9" i="63" s="1"/>
  <c r="AF9" i="63" s="1"/>
  <c r="BT8" i="63"/>
  <c r="BS8" i="63"/>
  <c r="BR8" i="63"/>
  <c r="BQ8" i="63"/>
  <c r="BP8" i="63"/>
  <c r="BO8" i="63"/>
  <c r="BN8" i="63"/>
  <c r="BM8" i="63"/>
  <c r="BL8" i="63"/>
  <c r="BK8" i="63"/>
  <c r="BJ8" i="63"/>
  <c r="BI8" i="63"/>
  <c r="BH8" i="63"/>
  <c r="BG8" i="63"/>
  <c r="BF8" i="63"/>
  <c r="BE8" i="63"/>
  <c r="BD8" i="63"/>
  <c r="BC8" i="63"/>
  <c r="BB8" i="63"/>
  <c r="BA8" i="63"/>
  <c r="AZ8" i="63"/>
  <c r="AY8" i="63"/>
  <c r="AX8" i="63"/>
  <c r="AW8" i="63"/>
  <c r="AV8" i="63"/>
  <c r="AU8" i="63"/>
  <c r="AG8" i="63"/>
  <c r="AE8" i="63"/>
  <c r="AC8" i="63"/>
  <c r="AC16" i="63" s="1"/>
  <c r="AC18" i="63" s="1"/>
  <c r="AB8" i="63"/>
  <c r="AA8" i="63"/>
  <c r="Z8" i="63"/>
  <c r="Y8" i="63"/>
  <c r="Y16" i="63" s="1"/>
  <c r="Y18" i="63" s="1"/>
  <c r="X8" i="63"/>
  <c r="W8" i="63"/>
  <c r="V8" i="63"/>
  <c r="U8" i="63"/>
  <c r="T8" i="63"/>
  <c r="S8" i="63"/>
  <c r="R8" i="63"/>
  <c r="R16" i="63" s="1"/>
  <c r="R18" i="63" s="1"/>
  <c r="Q8" i="63"/>
  <c r="J8" i="63"/>
  <c r="F8" i="63"/>
  <c r="K8" i="63" s="1"/>
  <c r="AF8" i="63" s="1"/>
  <c r="D346" i="62"/>
  <c r="H346" i="62" s="1"/>
  <c r="D344" i="62"/>
  <c r="H344" i="62" s="1"/>
  <c r="D342" i="62"/>
  <c r="H342" i="62" s="1"/>
  <c r="H340" i="62"/>
  <c r="D338" i="62"/>
  <c r="H338" i="62" s="1"/>
  <c r="H336" i="62"/>
  <c r="D336" i="62"/>
  <c r="E334" i="62"/>
  <c r="D334" i="62"/>
  <c r="H334" i="62" s="1"/>
  <c r="H330" i="62"/>
  <c r="D330" i="62"/>
  <c r="D328" i="62"/>
  <c r="H328" i="62" s="1"/>
  <c r="D324" i="62"/>
  <c r="H324" i="62" s="1"/>
  <c r="D322" i="62"/>
  <c r="D332" i="62" s="1"/>
  <c r="H332" i="62" s="1"/>
  <c r="D313" i="62"/>
  <c r="H313" i="62" s="1"/>
  <c r="D311" i="62"/>
  <c r="H311" i="62" s="1"/>
  <c r="D309" i="62"/>
  <c r="H309" i="62" s="1"/>
  <c r="H307" i="62"/>
  <c r="D305" i="62"/>
  <c r="H305" i="62" s="1"/>
  <c r="D303" i="62"/>
  <c r="H303" i="62" s="1"/>
  <c r="E301" i="62"/>
  <c r="D297" i="62"/>
  <c r="H297" i="62" s="1"/>
  <c r="D295" i="62"/>
  <c r="D291" i="62"/>
  <c r="D289" i="62"/>
  <c r="D299" i="62" s="1"/>
  <c r="D280" i="62"/>
  <c r="D278" i="62"/>
  <c r="H278" i="62" s="1"/>
  <c r="D276" i="62"/>
  <c r="H276" i="62" s="1"/>
  <c r="H274" i="62"/>
  <c r="D272" i="62"/>
  <c r="H272" i="62" s="1"/>
  <c r="D270" i="62"/>
  <c r="H270" i="62" s="1"/>
  <c r="E268" i="62"/>
  <c r="D264" i="62"/>
  <c r="H264" i="62" s="1"/>
  <c r="D262" i="62"/>
  <c r="H262" i="62" s="1"/>
  <c r="D258" i="62"/>
  <c r="H258" i="62" s="1"/>
  <c r="D256" i="62"/>
  <c r="D266" i="62" s="1"/>
  <c r="H266" i="62" s="1"/>
  <c r="F247" i="62"/>
  <c r="H247" i="62" s="1"/>
  <c r="F245" i="62"/>
  <c r="U229" i="62"/>
  <c r="S229" i="62"/>
  <c r="Q229" i="62"/>
  <c r="U227" i="62"/>
  <c r="S227" i="62"/>
  <c r="Q227" i="62"/>
  <c r="U225" i="62"/>
  <c r="S225" i="62"/>
  <c r="Q225" i="62"/>
  <c r="U223" i="62"/>
  <c r="S223" i="62"/>
  <c r="Q223" i="62"/>
  <c r="U221" i="62"/>
  <c r="S221" i="62"/>
  <c r="Q221" i="62"/>
  <c r="U219" i="62"/>
  <c r="S219" i="62"/>
  <c r="Q219" i="62"/>
  <c r="U217" i="62"/>
  <c r="S217" i="62"/>
  <c r="Q217" i="62"/>
  <c r="U215" i="62"/>
  <c r="S215" i="62"/>
  <c r="Q215" i="62"/>
  <c r="U213" i="62"/>
  <c r="S213" i="62"/>
  <c r="Q213" i="62"/>
  <c r="U211" i="62"/>
  <c r="S211" i="62"/>
  <c r="Q211" i="62"/>
  <c r="U209" i="62"/>
  <c r="S209" i="62"/>
  <c r="Q209" i="62"/>
  <c r="H199" i="62"/>
  <c r="B196" i="62"/>
  <c r="A196" i="62"/>
  <c r="AY195" i="62"/>
  <c r="AX195" i="62"/>
  <c r="AW195" i="62"/>
  <c r="AV195" i="62"/>
  <c r="AU195" i="62"/>
  <c r="AT195" i="62"/>
  <c r="AS195" i="62"/>
  <c r="AR195" i="62"/>
  <c r="AQ195" i="62"/>
  <c r="AP195" i="62"/>
  <c r="H195" i="62" s="1"/>
  <c r="M195" i="62"/>
  <c r="F195" i="62"/>
  <c r="L195" i="62" s="1"/>
  <c r="AY194" i="62"/>
  <c r="AX194" i="62"/>
  <c r="AW194" i="62"/>
  <c r="AV194" i="62"/>
  <c r="AU194" i="62"/>
  <c r="AT194" i="62"/>
  <c r="AS194" i="62"/>
  <c r="AR194" i="62"/>
  <c r="AQ194" i="62"/>
  <c r="AP194" i="62"/>
  <c r="M194" i="62"/>
  <c r="F194" i="62"/>
  <c r="AY193" i="62"/>
  <c r="AX193" i="62"/>
  <c r="AW193" i="62"/>
  <c r="AV193" i="62"/>
  <c r="AU193" i="62"/>
  <c r="AT193" i="62"/>
  <c r="AS193" i="62"/>
  <c r="AR193" i="62"/>
  <c r="AQ193" i="62"/>
  <c r="AP193" i="62"/>
  <c r="M193" i="62"/>
  <c r="F193" i="62"/>
  <c r="L193" i="62" s="1"/>
  <c r="AY192" i="62"/>
  <c r="AX192" i="62"/>
  <c r="AW192" i="62"/>
  <c r="AV192" i="62"/>
  <c r="AU192" i="62"/>
  <c r="AT192" i="62"/>
  <c r="AS192" i="62"/>
  <c r="AQ192" i="62"/>
  <c r="AP192" i="62"/>
  <c r="M192" i="62"/>
  <c r="F192" i="62"/>
  <c r="AY191" i="62"/>
  <c r="AX191" i="62"/>
  <c r="AW191" i="62"/>
  <c r="AV191" i="62"/>
  <c r="AU191" i="62"/>
  <c r="AT191" i="62"/>
  <c r="AS191" i="62"/>
  <c r="AQ191" i="62"/>
  <c r="AP191" i="62"/>
  <c r="M191" i="62"/>
  <c r="F191" i="62"/>
  <c r="AY190" i="62"/>
  <c r="AX190" i="62"/>
  <c r="AW190" i="62"/>
  <c r="AV190" i="62"/>
  <c r="AU190" i="62"/>
  <c r="AT190" i="62"/>
  <c r="AS190" i="62"/>
  <c r="AQ190" i="62"/>
  <c r="AP190" i="62"/>
  <c r="AR190" i="62"/>
  <c r="H190" i="62" s="1"/>
  <c r="M190" i="62"/>
  <c r="F190" i="62"/>
  <c r="L190" i="62" s="1"/>
  <c r="AY189" i="62"/>
  <c r="AX189" i="62"/>
  <c r="AW189" i="62"/>
  <c r="AV189" i="62"/>
  <c r="AU189" i="62"/>
  <c r="AT189" i="62"/>
  <c r="AS189" i="62"/>
  <c r="AQ189" i="62"/>
  <c r="AP189" i="62"/>
  <c r="AR189" i="62"/>
  <c r="M189" i="62"/>
  <c r="F189" i="62"/>
  <c r="L189" i="62" s="1"/>
  <c r="AY188" i="62"/>
  <c r="AX188" i="62"/>
  <c r="AW188" i="62"/>
  <c r="AV188" i="62"/>
  <c r="AU188" i="62"/>
  <c r="AS188" i="62"/>
  <c r="AR188" i="62"/>
  <c r="AQ188" i="62"/>
  <c r="AP188" i="62"/>
  <c r="M188" i="62"/>
  <c r="F188" i="62"/>
  <c r="AT188" i="62" s="1"/>
  <c r="AY187" i="62"/>
  <c r="AX187" i="62"/>
  <c r="AW187" i="62"/>
  <c r="AV187" i="62"/>
  <c r="AU187" i="62"/>
  <c r="AS187" i="62"/>
  <c r="AR187" i="62"/>
  <c r="AQ187" i="62"/>
  <c r="AP187" i="62"/>
  <c r="AT187" i="62"/>
  <c r="M187" i="62"/>
  <c r="F187" i="62"/>
  <c r="AY186" i="62"/>
  <c r="AX186" i="62"/>
  <c r="AW186" i="62"/>
  <c r="AV186" i="62"/>
  <c r="AU186" i="62"/>
  <c r="AS186" i="62"/>
  <c r="AR186" i="62"/>
  <c r="AQ186" i="62"/>
  <c r="AP186" i="62"/>
  <c r="AT186" i="62"/>
  <c r="M186" i="62"/>
  <c r="F186" i="62"/>
  <c r="L186" i="62" s="1"/>
  <c r="AY185" i="62"/>
  <c r="AX185" i="62"/>
  <c r="AW185" i="62"/>
  <c r="AV185" i="62"/>
  <c r="AU185" i="62"/>
  <c r="AS185" i="62"/>
  <c r="AR185" i="62"/>
  <c r="AQ185" i="62"/>
  <c r="AP185" i="62"/>
  <c r="M185" i="62"/>
  <c r="F185" i="62"/>
  <c r="AY184" i="62"/>
  <c r="AX184" i="62"/>
  <c r="AW184" i="62"/>
  <c r="AV184" i="62"/>
  <c r="AU184" i="62"/>
  <c r="AT184" i="62"/>
  <c r="AS184" i="62"/>
  <c r="AQ184" i="62"/>
  <c r="AP184" i="62"/>
  <c r="M184" i="62"/>
  <c r="F184" i="62"/>
  <c r="AY183" i="62"/>
  <c r="AX183" i="62"/>
  <c r="AW183" i="62"/>
  <c r="AV183" i="62"/>
  <c r="AU183" i="62"/>
  <c r="AT183" i="62"/>
  <c r="AS183" i="62"/>
  <c r="AQ183" i="62"/>
  <c r="AP183" i="62"/>
  <c r="M183" i="62"/>
  <c r="F183" i="62"/>
  <c r="AY182" i="62"/>
  <c r="AX182" i="62"/>
  <c r="AW182" i="62"/>
  <c r="AV182" i="62"/>
  <c r="AU182" i="62"/>
  <c r="AT182" i="62"/>
  <c r="AS182" i="62"/>
  <c r="AQ182" i="62"/>
  <c r="AP182" i="62"/>
  <c r="AR182" i="62"/>
  <c r="M182" i="62"/>
  <c r="F182" i="62"/>
  <c r="L182" i="62" s="1"/>
  <c r="AY181" i="62"/>
  <c r="AX181" i="62"/>
  <c r="AW181" i="62"/>
  <c r="AV181" i="62"/>
  <c r="AU181" i="62"/>
  <c r="AT181" i="62"/>
  <c r="AS181" i="62"/>
  <c r="AR181" i="62"/>
  <c r="AQ181" i="62"/>
  <c r="AP181" i="62"/>
  <c r="M181" i="62"/>
  <c r="F181" i="62"/>
  <c r="L181" i="62" s="1"/>
  <c r="AY180" i="62"/>
  <c r="AX180" i="62"/>
  <c r="AW180" i="62"/>
  <c r="AV180" i="62"/>
  <c r="AU180" i="62"/>
  <c r="AT180" i="62"/>
  <c r="AR180" i="62"/>
  <c r="AQ180" i="62"/>
  <c r="AP180" i="62"/>
  <c r="AS180" i="62"/>
  <c r="M180" i="62"/>
  <c r="F180" i="62"/>
  <c r="L180" i="62" s="1"/>
  <c r="AY179" i="62"/>
  <c r="AX179" i="62"/>
  <c r="AW179" i="62"/>
  <c r="AV179" i="62"/>
  <c r="AU179" i="62"/>
  <c r="AS179" i="62"/>
  <c r="AR179" i="62"/>
  <c r="AQ179" i="62"/>
  <c r="AP179" i="62"/>
  <c r="AT179" i="62"/>
  <c r="M179" i="62"/>
  <c r="F179" i="62"/>
  <c r="AY178" i="62"/>
  <c r="AX178" i="62"/>
  <c r="AW178" i="62"/>
  <c r="AV178" i="62"/>
  <c r="AU178" i="62"/>
  <c r="AS178" i="62"/>
  <c r="AR178" i="62"/>
  <c r="AQ178" i="62"/>
  <c r="AP178" i="62"/>
  <c r="AT178" i="62"/>
  <c r="M178" i="62"/>
  <c r="F178" i="62"/>
  <c r="L178" i="62" s="1"/>
  <c r="AY177" i="62"/>
  <c r="AX177" i="62"/>
  <c r="AW177" i="62"/>
  <c r="AV177" i="62"/>
  <c r="AU177" i="62"/>
  <c r="AS177" i="62"/>
  <c r="AR177" i="62"/>
  <c r="AQ177" i="62"/>
  <c r="AP177" i="62"/>
  <c r="M177" i="62"/>
  <c r="F177" i="62"/>
  <c r="AY176" i="62"/>
  <c r="AX176" i="62"/>
  <c r="AW176" i="62"/>
  <c r="AV176" i="62"/>
  <c r="AU176" i="62"/>
  <c r="AS176" i="62"/>
  <c r="AR176" i="62"/>
  <c r="AQ176" i="62"/>
  <c r="AP176" i="62"/>
  <c r="M176" i="62"/>
  <c r="F176" i="62"/>
  <c r="AY175" i="62"/>
  <c r="AX175" i="62"/>
  <c r="AW175" i="62"/>
  <c r="AV175" i="62"/>
  <c r="AU175" i="62"/>
  <c r="AS175" i="62"/>
  <c r="AR175" i="62"/>
  <c r="AQ175" i="62"/>
  <c r="AP175" i="62"/>
  <c r="AT175" i="62"/>
  <c r="M175" i="62"/>
  <c r="F175" i="62"/>
  <c r="AY174" i="62"/>
  <c r="AX174" i="62"/>
  <c r="AW174" i="62"/>
  <c r="AV174" i="62"/>
  <c r="AU174" i="62"/>
  <c r="AT174" i="62"/>
  <c r="AR174" i="62"/>
  <c r="AQ174" i="62"/>
  <c r="AP174" i="62"/>
  <c r="M174" i="62"/>
  <c r="F174" i="62"/>
  <c r="L174" i="62" s="1"/>
  <c r="AY173" i="62"/>
  <c r="AX173" i="62"/>
  <c r="AW173" i="62"/>
  <c r="AV173" i="62"/>
  <c r="AU173" i="62"/>
  <c r="AT173" i="62"/>
  <c r="AS173" i="62"/>
  <c r="AQ173" i="62"/>
  <c r="AP173" i="62"/>
  <c r="M173" i="62"/>
  <c r="F173" i="62"/>
  <c r="L168" i="62"/>
  <c r="BS166" i="62"/>
  <c r="BR166" i="62"/>
  <c r="BQ166" i="62"/>
  <c r="BP166" i="62"/>
  <c r="BO166" i="62"/>
  <c r="BN166" i="62"/>
  <c r="BM166" i="62"/>
  <c r="BL166" i="62"/>
  <c r="BK166" i="62"/>
  <c r="BJ166" i="62"/>
  <c r="BI166" i="62"/>
  <c r="BH166" i="62"/>
  <c r="BG166" i="62"/>
  <c r="BF166" i="62"/>
  <c r="BE166" i="62"/>
  <c r="BD166" i="62"/>
  <c r="BC166" i="62"/>
  <c r="BB166" i="62"/>
  <c r="BA166" i="62"/>
  <c r="AZ166" i="62"/>
  <c r="AY166" i="62"/>
  <c r="AX166" i="62"/>
  <c r="AW166" i="62"/>
  <c r="AV166" i="62"/>
  <c r="AU166" i="62"/>
  <c r="AT166" i="62"/>
  <c r="AC166" i="62"/>
  <c r="AB166" i="62"/>
  <c r="AA166" i="62"/>
  <c r="Z166" i="62"/>
  <c r="Y166" i="62"/>
  <c r="X166" i="62"/>
  <c r="W166" i="62"/>
  <c r="V166" i="62"/>
  <c r="U166" i="62"/>
  <c r="T166" i="62"/>
  <c r="S166" i="62"/>
  <c r="R166" i="62"/>
  <c r="Q166" i="62"/>
  <c r="J166" i="62"/>
  <c r="F166" i="62"/>
  <c r="BS165" i="62"/>
  <c r="BR165" i="62"/>
  <c r="BQ165" i="62"/>
  <c r="BP165" i="62"/>
  <c r="BO165" i="62"/>
  <c r="BN165" i="62"/>
  <c r="BM165" i="62"/>
  <c r="BL165" i="62"/>
  <c r="BK165" i="62"/>
  <c r="BJ165" i="62"/>
  <c r="BI165" i="62"/>
  <c r="BH165" i="62"/>
  <c r="BG165" i="62"/>
  <c r="BF165" i="62"/>
  <c r="BE165" i="62"/>
  <c r="BD165" i="62"/>
  <c r="BC165" i="62"/>
  <c r="BB165" i="62"/>
  <c r="BA165" i="62"/>
  <c r="AZ165" i="62"/>
  <c r="AY165" i="62"/>
  <c r="AX165" i="62"/>
  <c r="AW165" i="62"/>
  <c r="AV165" i="62"/>
  <c r="AU165" i="62"/>
  <c r="AT165" i="62"/>
  <c r="AC165" i="62"/>
  <c r="AB165" i="62"/>
  <c r="AA165" i="62"/>
  <c r="Z165" i="62"/>
  <c r="Y165" i="62"/>
  <c r="X165" i="62"/>
  <c r="W165" i="62"/>
  <c r="V165" i="62"/>
  <c r="U165" i="62"/>
  <c r="T165" i="62"/>
  <c r="S165" i="62"/>
  <c r="R165" i="62"/>
  <c r="Q165" i="62"/>
  <c r="J165" i="62"/>
  <c r="F165" i="62"/>
  <c r="BS164" i="62"/>
  <c r="BR164" i="62"/>
  <c r="BQ164" i="62"/>
  <c r="BP164" i="62"/>
  <c r="BO164" i="62"/>
  <c r="BN164" i="62"/>
  <c r="BM164" i="62"/>
  <c r="BL164" i="62"/>
  <c r="BK164" i="62"/>
  <c r="BJ164" i="62"/>
  <c r="BI164" i="62"/>
  <c r="BH164" i="62"/>
  <c r="BG164" i="62"/>
  <c r="BF164" i="62"/>
  <c r="BE164" i="62"/>
  <c r="BD164" i="62"/>
  <c r="BC164" i="62"/>
  <c r="BB164" i="62"/>
  <c r="BA164" i="62"/>
  <c r="AZ164" i="62"/>
  <c r="AY164" i="62"/>
  <c r="AX164" i="62"/>
  <c r="AW164" i="62"/>
  <c r="AV164" i="62"/>
  <c r="AU164" i="62"/>
  <c r="AT164" i="62"/>
  <c r="AC164" i="62"/>
  <c r="AB164" i="62"/>
  <c r="AA164" i="62"/>
  <c r="Z164" i="62"/>
  <c r="Y164" i="62"/>
  <c r="X164" i="62"/>
  <c r="W164" i="62"/>
  <c r="V164" i="62"/>
  <c r="U164" i="62"/>
  <c r="T164" i="62"/>
  <c r="S164" i="62"/>
  <c r="R164" i="62"/>
  <c r="Q164" i="62"/>
  <c r="J164" i="62"/>
  <c r="F164" i="62"/>
  <c r="BS163" i="62"/>
  <c r="BR163" i="62"/>
  <c r="BQ163" i="62"/>
  <c r="BP163" i="62"/>
  <c r="BO163" i="62"/>
  <c r="BN163" i="62"/>
  <c r="BM163" i="62"/>
  <c r="BL163" i="62"/>
  <c r="BK163" i="62"/>
  <c r="BJ163" i="62"/>
  <c r="BI163" i="62"/>
  <c r="BH163" i="62"/>
  <c r="BG163" i="62"/>
  <c r="BF163" i="62"/>
  <c r="BE163" i="62"/>
  <c r="BD163" i="62"/>
  <c r="BC163" i="62"/>
  <c r="BB163" i="62"/>
  <c r="BA163" i="62"/>
  <c r="AZ163" i="62"/>
  <c r="AY163" i="62"/>
  <c r="AX163" i="62"/>
  <c r="AW163" i="62"/>
  <c r="AV163" i="62"/>
  <c r="AU163" i="62"/>
  <c r="AT163" i="62"/>
  <c r="AC163" i="62"/>
  <c r="AB163" i="62"/>
  <c r="AA163" i="62"/>
  <c r="Z163" i="62"/>
  <c r="Y163" i="62"/>
  <c r="X163" i="62"/>
  <c r="W163" i="62"/>
  <c r="V163" i="62"/>
  <c r="U163" i="62"/>
  <c r="T163" i="62"/>
  <c r="S163" i="62"/>
  <c r="R163" i="62"/>
  <c r="Q163" i="62"/>
  <c r="J163" i="62"/>
  <c r="F163" i="62"/>
  <c r="K163" i="62" s="1"/>
  <c r="BS162" i="62"/>
  <c r="BR162" i="62"/>
  <c r="BQ162" i="62"/>
  <c r="BP162" i="62"/>
  <c r="BO162" i="62"/>
  <c r="BN162" i="62"/>
  <c r="BM162" i="62"/>
  <c r="BL162" i="62"/>
  <c r="BK162" i="62"/>
  <c r="BJ162" i="62"/>
  <c r="BI162" i="62"/>
  <c r="BH162" i="62"/>
  <c r="BG162" i="62"/>
  <c r="BF162" i="62"/>
  <c r="BE162" i="62"/>
  <c r="BD162" i="62"/>
  <c r="BC162" i="62"/>
  <c r="BB162" i="62"/>
  <c r="BA162" i="62"/>
  <c r="AZ162" i="62"/>
  <c r="AY162" i="62"/>
  <c r="AX162" i="62"/>
  <c r="AW162" i="62"/>
  <c r="AV162" i="62"/>
  <c r="AU162" i="62"/>
  <c r="AT162" i="62"/>
  <c r="AC162" i="62"/>
  <c r="AB162" i="62"/>
  <c r="AA162" i="62"/>
  <c r="Z162" i="62"/>
  <c r="Y162" i="62"/>
  <c r="X162" i="62"/>
  <c r="W162" i="62"/>
  <c r="V162" i="62"/>
  <c r="U162" i="62"/>
  <c r="T162" i="62"/>
  <c r="S162" i="62"/>
  <c r="R162" i="62"/>
  <c r="Q162" i="62"/>
  <c r="J162" i="62"/>
  <c r="F162" i="62"/>
  <c r="BS161" i="62"/>
  <c r="BR161" i="62"/>
  <c r="BQ161" i="62"/>
  <c r="BP161" i="62"/>
  <c r="BO161" i="62"/>
  <c r="BN161" i="62"/>
  <c r="BM161" i="62"/>
  <c r="BL161" i="62"/>
  <c r="BK161" i="62"/>
  <c r="BJ161" i="62"/>
  <c r="BI161" i="62"/>
  <c r="BH161" i="62"/>
  <c r="BG161" i="62"/>
  <c r="BF161" i="62"/>
  <c r="BE161" i="62"/>
  <c r="BD161" i="62"/>
  <c r="BC161" i="62"/>
  <c r="BB161" i="62"/>
  <c r="BA161" i="62"/>
  <c r="AZ161" i="62"/>
  <c r="AY161" i="62"/>
  <c r="AX161" i="62"/>
  <c r="AW161" i="62"/>
  <c r="AV161" i="62"/>
  <c r="AU161" i="62"/>
  <c r="AT161" i="62"/>
  <c r="AC161" i="62"/>
  <c r="AB161" i="62"/>
  <c r="AA161" i="62"/>
  <c r="Z161" i="62"/>
  <c r="Y161" i="62"/>
  <c r="X161" i="62"/>
  <c r="W161" i="62"/>
  <c r="V161" i="62"/>
  <c r="U161" i="62"/>
  <c r="T161" i="62"/>
  <c r="S161" i="62"/>
  <c r="R161" i="62"/>
  <c r="Q161" i="62"/>
  <c r="J161" i="62"/>
  <c r="F161" i="62"/>
  <c r="BS160" i="62"/>
  <c r="BR160" i="62"/>
  <c r="BQ160" i="62"/>
  <c r="BP160" i="62"/>
  <c r="BO160" i="62"/>
  <c r="BN160" i="62"/>
  <c r="BM160" i="62"/>
  <c r="BL160" i="62"/>
  <c r="BK160" i="62"/>
  <c r="BJ160" i="62"/>
  <c r="BI160" i="62"/>
  <c r="BH160" i="62"/>
  <c r="BG160" i="62"/>
  <c r="BF160" i="62"/>
  <c r="BE160" i="62"/>
  <c r="BD160" i="62"/>
  <c r="BC160" i="62"/>
  <c r="BB160" i="62"/>
  <c r="BA160" i="62"/>
  <c r="AZ160" i="62"/>
  <c r="AY160" i="62"/>
  <c r="AX160" i="62"/>
  <c r="AW160" i="62"/>
  <c r="AV160" i="62"/>
  <c r="AU160" i="62"/>
  <c r="AT160" i="62"/>
  <c r="AC160" i="62"/>
  <c r="AB160" i="62"/>
  <c r="AA160" i="62"/>
  <c r="Z160" i="62"/>
  <c r="Y160" i="62"/>
  <c r="X160" i="62"/>
  <c r="W160" i="62"/>
  <c r="V160" i="62"/>
  <c r="U160" i="62"/>
  <c r="T160" i="62"/>
  <c r="S160" i="62"/>
  <c r="R160" i="62"/>
  <c r="Q160" i="62"/>
  <c r="J160" i="62"/>
  <c r="K160" i="62" s="1"/>
  <c r="AF160" i="62" s="1"/>
  <c r="F160" i="62"/>
  <c r="BS159" i="62"/>
  <c r="BR159" i="62"/>
  <c r="BQ159" i="62"/>
  <c r="BP159" i="62"/>
  <c r="BO159" i="62"/>
  <c r="BN159" i="62"/>
  <c r="BM159" i="62"/>
  <c r="BL159" i="62"/>
  <c r="BK159" i="62"/>
  <c r="BJ159" i="62"/>
  <c r="BI159" i="62"/>
  <c r="BH159" i="62"/>
  <c r="BG159" i="62"/>
  <c r="BF159" i="62"/>
  <c r="BE159" i="62"/>
  <c r="BD159" i="62"/>
  <c r="BC159" i="62"/>
  <c r="BB159" i="62"/>
  <c r="BA159" i="62"/>
  <c r="AZ159" i="62"/>
  <c r="AY159" i="62"/>
  <c r="AX159" i="62"/>
  <c r="AW159" i="62"/>
  <c r="AV159" i="62"/>
  <c r="AU159" i="62"/>
  <c r="AT159" i="62"/>
  <c r="AC159" i="62"/>
  <c r="AB159" i="62"/>
  <c r="AA159" i="62"/>
  <c r="Z159" i="62"/>
  <c r="Y159" i="62"/>
  <c r="X159" i="62"/>
  <c r="W159" i="62"/>
  <c r="V159" i="62"/>
  <c r="U159" i="62"/>
  <c r="T159" i="62"/>
  <c r="S159" i="62"/>
  <c r="R159" i="62"/>
  <c r="Q159" i="62"/>
  <c r="J159" i="62"/>
  <c r="F159" i="62"/>
  <c r="K159" i="62" s="1"/>
  <c r="BS158" i="62"/>
  <c r="BR158" i="62"/>
  <c r="BQ158" i="62"/>
  <c r="BP158" i="62"/>
  <c r="BO158" i="62"/>
  <c r="BN158" i="62"/>
  <c r="BM158" i="62"/>
  <c r="BL158" i="62"/>
  <c r="BK158" i="62"/>
  <c r="BJ158" i="62"/>
  <c r="BI158" i="62"/>
  <c r="BH158" i="62"/>
  <c r="BG158" i="62"/>
  <c r="BF158" i="62"/>
  <c r="BE158" i="62"/>
  <c r="BD158" i="62"/>
  <c r="BC158" i="62"/>
  <c r="BB158" i="62"/>
  <c r="BA158" i="62"/>
  <c r="AZ158" i="62"/>
  <c r="AY158" i="62"/>
  <c r="AX158" i="62"/>
  <c r="AW158" i="62"/>
  <c r="AV158" i="62"/>
  <c r="AU158" i="62"/>
  <c r="AT158" i="62"/>
  <c r="AC158" i="62"/>
  <c r="AB158" i="62"/>
  <c r="AA158" i="62"/>
  <c r="Z158" i="62"/>
  <c r="Y158" i="62"/>
  <c r="X158" i="62"/>
  <c r="W158" i="62"/>
  <c r="V158" i="62"/>
  <c r="U158" i="62"/>
  <c r="T158" i="62"/>
  <c r="S158" i="62"/>
  <c r="R158" i="62"/>
  <c r="Q158" i="62"/>
  <c r="J158" i="62"/>
  <c r="K158" i="62" s="1"/>
  <c r="F158" i="62"/>
  <c r="BS157" i="62"/>
  <c r="BR157" i="62"/>
  <c r="BQ157" i="62"/>
  <c r="BP157" i="62"/>
  <c r="BO157" i="62"/>
  <c r="BN157" i="62"/>
  <c r="BM157" i="62"/>
  <c r="BL157" i="62"/>
  <c r="BK157" i="62"/>
  <c r="BJ157" i="62"/>
  <c r="BI157" i="62"/>
  <c r="BH157" i="62"/>
  <c r="BG157" i="62"/>
  <c r="BF157" i="62"/>
  <c r="BE157" i="62"/>
  <c r="BD157" i="62"/>
  <c r="BC157" i="62"/>
  <c r="BB157" i="62"/>
  <c r="BA157" i="62"/>
  <c r="AZ157" i="62"/>
  <c r="AY157" i="62"/>
  <c r="AX157" i="62"/>
  <c r="AW157" i="62"/>
  <c r="AV157" i="62"/>
  <c r="AU157" i="62"/>
  <c r="AT157" i="62"/>
  <c r="AC157" i="62"/>
  <c r="AB157" i="62"/>
  <c r="AA157" i="62"/>
  <c r="Z157" i="62"/>
  <c r="Y157" i="62"/>
  <c r="X157" i="62"/>
  <c r="W157" i="62"/>
  <c r="V157" i="62"/>
  <c r="U157" i="62"/>
  <c r="T157" i="62"/>
  <c r="S157" i="62"/>
  <c r="R157" i="62"/>
  <c r="Q157" i="62"/>
  <c r="J157" i="62"/>
  <c r="F157" i="62"/>
  <c r="BS156" i="62"/>
  <c r="BR156" i="62"/>
  <c r="BQ156" i="62"/>
  <c r="BP156" i="62"/>
  <c r="BO156" i="62"/>
  <c r="BN156" i="62"/>
  <c r="BM156" i="62"/>
  <c r="BL156" i="62"/>
  <c r="BK156" i="62"/>
  <c r="BJ156" i="62"/>
  <c r="BI156" i="62"/>
  <c r="BH156" i="62"/>
  <c r="BG156" i="62"/>
  <c r="BF156" i="62"/>
  <c r="BE156" i="62"/>
  <c r="BD156" i="62"/>
  <c r="BC156" i="62"/>
  <c r="BB156" i="62"/>
  <c r="BA156" i="62"/>
  <c r="AZ156" i="62"/>
  <c r="AY156" i="62"/>
  <c r="AX156" i="62"/>
  <c r="AW156" i="62"/>
  <c r="AV156" i="62"/>
  <c r="AU156" i="62"/>
  <c r="AC156" i="62"/>
  <c r="AB156" i="62"/>
  <c r="AA156" i="62"/>
  <c r="Z156" i="62"/>
  <c r="Y156" i="62"/>
  <c r="X156" i="62"/>
  <c r="V156" i="62"/>
  <c r="U156" i="62"/>
  <c r="T156" i="62"/>
  <c r="S156" i="62"/>
  <c r="R156" i="62"/>
  <c r="J156" i="62"/>
  <c r="K156" i="62" s="1"/>
  <c r="F156" i="62"/>
  <c r="BS155" i="62"/>
  <c r="BR155" i="62"/>
  <c r="BQ155" i="62"/>
  <c r="BP155" i="62"/>
  <c r="BO155" i="62"/>
  <c r="BN155" i="62"/>
  <c r="BM155" i="62"/>
  <c r="BL155" i="62"/>
  <c r="BK155" i="62"/>
  <c r="BJ155" i="62"/>
  <c r="BI155" i="62"/>
  <c r="BH155" i="62"/>
  <c r="BG155" i="62"/>
  <c r="BF155" i="62"/>
  <c r="BE155" i="62"/>
  <c r="BD155" i="62"/>
  <c r="BC155" i="62"/>
  <c r="BB155" i="62"/>
  <c r="BA155" i="62"/>
  <c r="AZ155" i="62"/>
  <c r="AY155" i="62"/>
  <c r="AX155" i="62"/>
  <c r="AW155" i="62"/>
  <c r="AV155" i="62"/>
  <c r="AU155" i="62"/>
  <c r="AT155" i="62"/>
  <c r="AC155" i="62"/>
  <c r="AB155" i="62"/>
  <c r="AA155" i="62"/>
  <c r="Z155" i="62"/>
  <c r="Y155" i="62"/>
  <c r="X155" i="62"/>
  <c r="V155" i="62"/>
  <c r="U155" i="62"/>
  <c r="T155" i="62"/>
  <c r="S155" i="62"/>
  <c r="R155" i="62"/>
  <c r="J155" i="62"/>
  <c r="F155" i="62"/>
  <c r="BS154" i="62"/>
  <c r="BR154" i="62"/>
  <c r="BQ154" i="62"/>
  <c r="BP154" i="62"/>
  <c r="BO154" i="62"/>
  <c r="BN154" i="62"/>
  <c r="BM154" i="62"/>
  <c r="BL154" i="62"/>
  <c r="BK154" i="62"/>
  <c r="BJ154" i="62"/>
  <c r="BI154" i="62"/>
  <c r="BH154" i="62"/>
  <c r="BG154" i="62"/>
  <c r="BF154" i="62"/>
  <c r="BE154" i="62"/>
  <c r="BD154" i="62"/>
  <c r="BC154" i="62"/>
  <c r="BB154" i="62"/>
  <c r="BA154" i="62"/>
  <c r="AZ154" i="62"/>
  <c r="AY154" i="62"/>
  <c r="AX154" i="62"/>
  <c r="AW154" i="62"/>
  <c r="AV154" i="62"/>
  <c r="AU154" i="62"/>
  <c r="AC154" i="62"/>
  <c r="AB154" i="62"/>
  <c r="AA154" i="62"/>
  <c r="Z154" i="62"/>
  <c r="Y154" i="62"/>
  <c r="X154" i="62"/>
  <c r="V154" i="62"/>
  <c r="U154" i="62"/>
  <c r="T154" i="62"/>
  <c r="S154" i="62"/>
  <c r="R154" i="62"/>
  <c r="J154" i="62"/>
  <c r="F154" i="62"/>
  <c r="K154" i="62" s="1"/>
  <c r="BS153" i="62"/>
  <c r="BR153" i="62"/>
  <c r="BQ153" i="62"/>
  <c r="BP153" i="62"/>
  <c r="BO153" i="62"/>
  <c r="BN153" i="62"/>
  <c r="BM153" i="62"/>
  <c r="BL153" i="62"/>
  <c r="BK153" i="62"/>
  <c r="BJ153" i="62"/>
  <c r="BI153" i="62"/>
  <c r="BH153" i="62"/>
  <c r="BG153" i="62"/>
  <c r="BF153" i="62"/>
  <c r="BE153" i="62"/>
  <c r="BD153" i="62"/>
  <c r="BC153" i="62"/>
  <c r="BB153" i="62"/>
  <c r="BA153" i="62"/>
  <c r="AZ153" i="62"/>
  <c r="AY153" i="62"/>
  <c r="AX153" i="62"/>
  <c r="AW153" i="62"/>
  <c r="AV153" i="62"/>
  <c r="AU153" i="62"/>
  <c r="AT153" i="62"/>
  <c r="AC153" i="62"/>
  <c r="AB153" i="62"/>
  <c r="AA153" i="62"/>
  <c r="Z153" i="62"/>
  <c r="Y153" i="62"/>
  <c r="X153" i="62"/>
  <c r="V153" i="62"/>
  <c r="U153" i="62"/>
  <c r="T153" i="62"/>
  <c r="S153" i="62"/>
  <c r="R153" i="62"/>
  <c r="J153" i="62"/>
  <c r="F153" i="62"/>
  <c r="BS152" i="62"/>
  <c r="BR152" i="62"/>
  <c r="BQ152" i="62"/>
  <c r="BP152" i="62"/>
  <c r="BO152" i="62"/>
  <c r="BN152" i="62"/>
  <c r="BM152" i="62"/>
  <c r="BL152" i="62"/>
  <c r="BK152" i="62"/>
  <c r="BJ152" i="62"/>
  <c r="BI152" i="62"/>
  <c r="BH152" i="62"/>
  <c r="BG152" i="62"/>
  <c r="BF152" i="62"/>
  <c r="BE152" i="62"/>
  <c r="BD152" i="62"/>
  <c r="BC152" i="62"/>
  <c r="BB152" i="62"/>
  <c r="BA152" i="62"/>
  <c r="AZ152" i="62"/>
  <c r="AY152" i="62"/>
  <c r="AX152" i="62"/>
  <c r="AW152" i="62"/>
  <c r="AV152" i="62"/>
  <c r="AU152" i="62"/>
  <c r="AC152" i="62"/>
  <c r="AB152" i="62"/>
  <c r="AA152" i="62"/>
  <c r="Z152" i="62"/>
  <c r="Y152" i="62"/>
  <c r="X152" i="62"/>
  <c r="V152" i="62"/>
  <c r="U152" i="62"/>
  <c r="T152" i="62"/>
  <c r="S152" i="62"/>
  <c r="R152" i="62"/>
  <c r="J152" i="62"/>
  <c r="K152" i="62" s="1"/>
  <c r="F152" i="62"/>
  <c r="BS151" i="62"/>
  <c r="BR151" i="62"/>
  <c r="BQ151" i="62"/>
  <c r="BP151" i="62"/>
  <c r="BO151" i="62"/>
  <c r="BN151" i="62"/>
  <c r="BM151" i="62"/>
  <c r="BL151" i="62"/>
  <c r="BK151" i="62"/>
  <c r="BJ151" i="62"/>
  <c r="BI151" i="62"/>
  <c r="BH151" i="62"/>
  <c r="BG151" i="62"/>
  <c r="BF151" i="62"/>
  <c r="BE151" i="62"/>
  <c r="BD151" i="62"/>
  <c r="BC151" i="62"/>
  <c r="BB151" i="62"/>
  <c r="BA151" i="62"/>
  <c r="AZ151" i="62"/>
  <c r="AY151" i="62"/>
  <c r="AX151" i="62"/>
  <c r="AW151" i="62"/>
  <c r="AV151" i="62"/>
  <c r="AU151" i="62"/>
  <c r="AC151" i="62"/>
  <c r="AB151" i="62"/>
  <c r="AA151" i="62"/>
  <c r="Z151" i="62"/>
  <c r="Y151" i="62"/>
  <c r="X151" i="62"/>
  <c r="V151" i="62"/>
  <c r="U151" i="62"/>
  <c r="T151" i="62"/>
  <c r="S151" i="62"/>
  <c r="R151" i="62"/>
  <c r="J151" i="62"/>
  <c r="K151" i="62" s="1"/>
  <c r="F151" i="62"/>
  <c r="BS150" i="62"/>
  <c r="BR150" i="62"/>
  <c r="BQ150" i="62"/>
  <c r="BP150" i="62"/>
  <c r="BO150" i="62"/>
  <c r="BN150" i="62"/>
  <c r="BM150" i="62"/>
  <c r="BL150" i="62"/>
  <c r="BK150" i="62"/>
  <c r="BJ150" i="62"/>
  <c r="BI150" i="62"/>
  <c r="BH150" i="62"/>
  <c r="BG150" i="62"/>
  <c r="BF150" i="62"/>
  <c r="BE150" i="62"/>
  <c r="BD150" i="62"/>
  <c r="BC150" i="62"/>
  <c r="BB150" i="62"/>
  <c r="BA150" i="62"/>
  <c r="AZ150" i="62"/>
  <c r="AY150" i="62"/>
  <c r="AX150" i="62"/>
  <c r="AW150" i="62"/>
  <c r="AV150" i="62"/>
  <c r="AU150" i="62"/>
  <c r="AC150" i="62"/>
  <c r="AB150" i="62"/>
  <c r="AA150" i="62"/>
  <c r="Z150" i="62"/>
  <c r="Y150" i="62"/>
  <c r="X150" i="62"/>
  <c r="V150" i="62"/>
  <c r="U150" i="62"/>
  <c r="T150" i="62"/>
  <c r="S150" i="62"/>
  <c r="R150" i="62"/>
  <c r="J150" i="62"/>
  <c r="K150" i="62" s="1"/>
  <c r="F150" i="62"/>
  <c r="BS149" i="62"/>
  <c r="BR149" i="62"/>
  <c r="BQ149" i="62"/>
  <c r="BP149" i="62"/>
  <c r="BO149" i="62"/>
  <c r="BN149" i="62"/>
  <c r="BM149" i="62"/>
  <c r="BL149" i="62"/>
  <c r="BK149" i="62"/>
  <c r="BJ149" i="62"/>
  <c r="BI149" i="62"/>
  <c r="BH149" i="62"/>
  <c r="BG149" i="62"/>
  <c r="BF149" i="62"/>
  <c r="BE149" i="62"/>
  <c r="BD149" i="62"/>
  <c r="BC149" i="62"/>
  <c r="BB149" i="62"/>
  <c r="BA149" i="62"/>
  <c r="AZ149" i="62"/>
  <c r="AY149" i="62"/>
  <c r="AX149" i="62"/>
  <c r="AW149" i="62"/>
  <c r="AV149" i="62"/>
  <c r="AU149" i="62"/>
  <c r="AC149" i="62"/>
  <c r="AB149" i="62"/>
  <c r="AA149" i="62"/>
  <c r="Z149" i="62"/>
  <c r="Y149" i="62"/>
  <c r="X149" i="62"/>
  <c r="V149" i="62"/>
  <c r="U149" i="62"/>
  <c r="T149" i="62"/>
  <c r="S149" i="62"/>
  <c r="R149" i="62"/>
  <c r="J149" i="62"/>
  <c r="F149" i="62"/>
  <c r="BS148" i="62"/>
  <c r="BR148" i="62"/>
  <c r="BQ148" i="62"/>
  <c r="BP148" i="62"/>
  <c r="BO148" i="62"/>
  <c r="BN148" i="62"/>
  <c r="BM148" i="62"/>
  <c r="BL148" i="62"/>
  <c r="BK148" i="62"/>
  <c r="BJ148" i="62"/>
  <c r="BI148" i="62"/>
  <c r="BH148" i="62"/>
  <c r="BG148" i="62"/>
  <c r="BF148" i="62"/>
  <c r="BE148" i="62"/>
  <c r="BD148" i="62"/>
  <c r="BC148" i="62"/>
  <c r="BB148" i="62"/>
  <c r="BA148" i="62"/>
  <c r="AZ148" i="62"/>
  <c r="AY148" i="62"/>
  <c r="AX148" i="62"/>
  <c r="AW148" i="62"/>
  <c r="AV148" i="62"/>
  <c r="AU148" i="62"/>
  <c r="AC148" i="62"/>
  <c r="AB148" i="62"/>
  <c r="AA148" i="62"/>
  <c r="Z148" i="62"/>
  <c r="Y148" i="62"/>
  <c r="X148" i="62"/>
  <c r="V148" i="62"/>
  <c r="U148" i="62"/>
  <c r="T148" i="62"/>
  <c r="S148" i="62"/>
  <c r="R148" i="62"/>
  <c r="J148" i="62"/>
  <c r="F148" i="62"/>
  <c r="BS147" i="62"/>
  <c r="BR147" i="62"/>
  <c r="BQ147" i="62"/>
  <c r="BP147" i="62"/>
  <c r="BO147" i="62"/>
  <c r="BN147" i="62"/>
  <c r="BM147" i="62"/>
  <c r="BL147" i="62"/>
  <c r="BK147" i="62"/>
  <c r="BJ147" i="62"/>
  <c r="BI147" i="62"/>
  <c r="BH147" i="62"/>
  <c r="BG147" i="62"/>
  <c r="BF147" i="62"/>
  <c r="BE147" i="62"/>
  <c r="BD147" i="62"/>
  <c r="BC147" i="62"/>
  <c r="BB147" i="62"/>
  <c r="BA147" i="62"/>
  <c r="AZ147" i="62"/>
  <c r="AY147" i="62"/>
  <c r="AX147" i="62"/>
  <c r="AW147" i="62"/>
  <c r="AV147" i="62"/>
  <c r="AU147" i="62"/>
  <c r="AC147" i="62"/>
  <c r="AB147" i="62"/>
  <c r="AA147" i="62"/>
  <c r="Z147" i="62"/>
  <c r="Y147" i="62"/>
  <c r="X147" i="62"/>
  <c r="V147" i="62"/>
  <c r="U147" i="62"/>
  <c r="T147" i="62"/>
  <c r="S147" i="62"/>
  <c r="R147" i="62"/>
  <c r="J147" i="62"/>
  <c r="K147" i="62" s="1"/>
  <c r="AE147" i="62" s="1"/>
  <c r="F147" i="62"/>
  <c r="BS146" i="62"/>
  <c r="BR146" i="62"/>
  <c r="BQ146" i="62"/>
  <c r="BP146" i="62"/>
  <c r="BO146" i="62"/>
  <c r="BN146" i="62"/>
  <c r="BM146" i="62"/>
  <c r="BL146" i="62"/>
  <c r="BK146" i="62"/>
  <c r="BJ146" i="62"/>
  <c r="BI146" i="62"/>
  <c r="BH146" i="62"/>
  <c r="BG146" i="62"/>
  <c r="BF146" i="62"/>
  <c r="BE146" i="62"/>
  <c r="BD146" i="62"/>
  <c r="BC146" i="62"/>
  <c r="BB146" i="62"/>
  <c r="BA146" i="62"/>
  <c r="AZ146" i="62"/>
  <c r="AY146" i="62"/>
  <c r="AX146" i="62"/>
  <c r="AW146" i="62"/>
  <c r="N146" i="62" s="1"/>
  <c r="AV146" i="62"/>
  <c r="AU146" i="62"/>
  <c r="AT146" i="62"/>
  <c r="AC146" i="62"/>
  <c r="AB146" i="62"/>
  <c r="AA146" i="62"/>
  <c r="Z146" i="62"/>
  <c r="Y146" i="62"/>
  <c r="X146" i="62"/>
  <c r="V146" i="62"/>
  <c r="U146" i="62"/>
  <c r="T146" i="62"/>
  <c r="S146" i="62"/>
  <c r="R146" i="62"/>
  <c r="Q146" i="62"/>
  <c r="J146" i="62"/>
  <c r="F146" i="62"/>
  <c r="BS145" i="62"/>
  <c r="BR145" i="62"/>
  <c r="BQ145" i="62"/>
  <c r="BP145" i="62"/>
  <c r="BO145" i="62"/>
  <c r="BN145" i="62"/>
  <c r="BM145" i="62"/>
  <c r="BL145" i="62"/>
  <c r="BK145" i="62"/>
  <c r="BJ145" i="62"/>
  <c r="BI145" i="62"/>
  <c r="BH145" i="62"/>
  <c r="BG145" i="62"/>
  <c r="BF145" i="62"/>
  <c r="BE145" i="62"/>
  <c r="BD145" i="62"/>
  <c r="BC145" i="62"/>
  <c r="BB145" i="62"/>
  <c r="BA145" i="62"/>
  <c r="AZ145" i="62"/>
  <c r="AY145" i="62"/>
  <c r="AX145" i="62"/>
  <c r="AW145" i="62"/>
  <c r="AV145" i="62"/>
  <c r="AU145" i="62"/>
  <c r="AC145" i="62"/>
  <c r="AB145" i="62"/>
  <c r="AA145" i="62"/>
  <c r="Z145" i="62"/>
  <c r="Y145" i="62"/>
  <c r="X145" i="62"/>
  <c r="V145" i="62"/>
  <c r="U145" i="62"/>
  <c r="T145" i="62"/>
  <c r="S145" i="62"/>
  <c r="R145" i="62"/>
  <c r="J145" i="62"/>
  <c r="F145" i="62"/>
  <c r="BS144" i="62"/>
  <c r="BR144" i="62"/>
  <c r="BQ144" i="62"/>
  <c r="BP144" i="62"/>
  <c r="BO144" i="62"/>
  <c r="BN144" i="62"/>
  <c r="BM144" i="62"/>
  <c r="BL144" i="62"/>
  <c r="BK144" i="62"/>
  <c r="BJ144" i="62"/>
  <c r="BI144" i="62"/>
  <c r="BH144" i="62"/>
  <c r="BG144" i="62"/>
  <c r="BF144" i="62"/>
  <c r="BE144" i="62"/>
  <c r="BD144" i="62"/>
  <c r="BC144" i="62"/>
  <c r="BB144" i="62"/>
  <c r="BA144" i="62"/>
  <c r="AZ144" i="62"/>
  <c r="AY144" i="62"/>
  <c r="AX144" i="62"/>
  <c r="AW144" i="62"/>
  <c r="AV144" i="62"/>
  <c r="AU144" i="62"/>
  <c r="AC144" i="62"/>
  <c r="AB144" i="62"/>
  <c r="AA144" i="62"/>
  <c r="Z144" i="62"/>
  <c r="Y144" i="62"/>
  <c r="X144" i="62"/>
  <c r="V144" i="62"/>
  <c r="U144" i="62"/>
  <c r="T144" i="62"/>
  <c r="S144" i="62"/>
  <c r="R144" i="62"/>
  <c r="J144" i="62"/>
  <c r="F144" i="62"/>
  <c r="BS143" i="62"/>
  <c r="BR143" i="62"/>
  <c r="BQ143" i="62"/>
  <c r="BP143" i="62"/>
  <c r="BO143" i="62"/>
  <c r="BN143" i="62"/>
  <c r="BM143" i="62"/>
  <c r="BL143" i="62"/>
  <c r="BK143" i="62"/>
  <c r="BJ143" i="62"/>
  <c r="BI143" i="62"/>
  <c r="BH143" i="62"/>
  <c r="BG143" i="62"/>
  <c r="BF143" i="62"/>
  <c r="BE143" i="62"/>
  <c r="BD143" i="62"/>
  <c r="BC143" i="62"/>
  <c r="BB143" i="62"/>
  <c r="BA143" i="62"/>
  <c r="AZ143" i="62"/>
  <c r="AY143" i="62"/>
  <c r="AX143" i="62"/>
  <c r="AW143" i="62"/>
  <c r="AV143" i="62"/>
  <c r="AU143" i="62"/>
  <c r="AC143" i="62"/>
  <c r="AB143" i="62"/>
  <c r="AA143" i="62"/>
  <c r="Z143" i="62"/>
  <c r="Y143" i="62"/>
  <c r="X143" i="62"/>
  <c r="V143" i="62"/>
  <c r="U143" i="62"/>
  <c r="T143" i="62"/>
  <c r="S143" i="62"/>
  <c r="R143" i="62"/>
  <c r="J143" i="62"/>
  <c r="K143" i="62" s="1"/>
  <c r="AE143" i="62" s="1"/>
  <c r="F143" i="62"/>
  <c r="BS142" i="62"/>
  <c r="BR142" i="62"/>
  <c r="BQ142" i="62"/>
  <c r="BP142" i="62"/>
  <c r="BO142" i="62"/>
  <c r="BN142" i="62"/>
  <c r="BM142" i="62"/>
  <c r="BL142" i="62"/>
  <c r="BK142" i="62"/>
  <c r="BJ142" i="62"/>
  <c r="BI142" i="62"/>
  <c r="BH142" i="62"/>
  <c r="BG142" i="62"/>
  <c r="BF142" i="62"/>
  <c r="BE142" i="62"/>
  <c r="BD142" i="62"/>
  <c r="BC142" i="62"/>
  <c r="BB142" i="62"/>
  <c r="BA142" i="62"/>
  <c r="AZ142" i="62"/>
  <c r="AY142" i="62"/>
  <c r="AX142" i="62"/>
  <c r="AW142" i="62"/>
  <c r="AV142" i="62"/>
  <c r="AU142" i="62"/>
  <c r="AC142" i="62"/>
  <c r="AB142" i="62"/>
  <c r="AA142" i="62"/>
  <c r="Z142" i="62"/>
  <c r="Y142" i="62"/>
  <c r="X142" i="62"/>
  <c r="V142" i="62"/>
  <c r="U142" i="62"/>
  <c r="T142" i="62"/>
  <c r="S142" i="62"/>
  <c r="R142" i="62"/>
  <c r="J142" i="62"/>
  <c r="K142" i="62" s="1"/>
  <c r="F142" i="62"/>
  <c r="BS141" i="62"/>
  <c r="BR141" i="62"/>
  <c r="BQ141" i="62"/>
  <c r="BP141" i="62"/>
  <c r="BO141" i="62"/>
  <c r="BN141" i="62"/>
  <c r="BM141" i="62"/>
  <c r="BL141" i="62"/>
  <c r="BK141" i="62"/>
  <c r="BJ141" i="62"/>
  <c r="BI141" i="62"/>
  <c r="BH141" i="62"/>
  <c r="BG141" i="62"/>
  <c r="BF141" i="62"/>
  <c r="BE141" i="62"/>
  <c r="BD141" i="62"/>
  <c r="BC141" i="62"/>
  <c r="BB141" i="62"/>
  <c r="BA141" i="62"/>
  <c r="AZ141" i="62"/>
  <c r="AY141" i="62"/>
  <c r="AX141" i="62"/>
  <c r="AW141" i="62"/>
  <c r="AV141" i="62"/>
  <c r="AU141" i="62"/>
  <c r="AC141" i="62"/>
  <c r="AB141" i="62"/>
  <c r="AA141" i="62"/>
  <c r="Z141" i="62"/>
  <c r="Y141" i="62"/>
  <c r="X141" i="62"/>
  <c r="V141" i="62"/>
  <c r="U141" i="62"/>
  <c r="T141" i="62"/>
  <c r="S141" i="62"/>
  <c r="R141" i="62"/>
  <c r="J141" i="62"/>
  <c r="F141" i="62"/>
  <c r="K141" i="62" s="1"/>
  <c r="AE141" i="62" s="1"/>
  <c r="BS140" i="62"/>
  <c r="BR140" i="62"/>
  <c r="BQ140" i="62"/>
  <c r="BP140" i="62"/>
  <c r="BO140" i="62"/>
  <c r="BN140" i="62"/>
  <c r="BM140" i="62"/>
  <c r="BL140" i="62"/>
  <c r="BK140" i="62"/>
  <c r="BJ140" i="62"/>
  <c r="BI140" i="62"/>
  <c r="BH140" i="62"/>
  <c r="BG140" i="62"/>
  <c r="BF140" i="62"/>
  <c r="BE140" i="62"/>
  <c r="BD140" i="62"/>
  <c r="BC140" i="62"/>
  <c r="BB140" i="62"/>
  <c r="BA140" i="62"/>
  <c r="AZ140" i="62"/>
  <c r="AY140" i="62"/>
  <c r="AX140" i="62"/>
  <c r="AW140" i="62"/>
  <c r="AV140" i="62"/>
  <c r="AU140" i="62"/>
  <c r="AC140" i="62"/>
  <c r="AB140" i="62"/>
  <c r="AA140" i="62"/>
  <c r="Z140" i="62"/>
  <c r="Y140" i="62"/>
  <c r="X140" i="62"/>
  <c r="V140" i="62"/>
  <c r="U140" i="62"/>
  <c r="T140" i="62"/>
  <c r="S140" i="62"/>
  <c r="R140" i="62"/>
  <c r="J140" i="62"/>
  <c r="K140" i="62" s="1"/>
  <c r="F140" i="62"/>
  <c r="BS139" i="62"/>
  <c r="BR139" i="62"/>
  <c r="BQ139" i="62"/>
  <c r="BP139" i="62"/>
  <c r="BO139" i="62"/>
  <c r="BN139" i="62"/>
  <c r="BM139" i="62"/>
  <c r="BL139" i="62"/>
  <c r="BK139" i="62"/>
  <c r="BJ139" i="62"/>
  <c r="BI139" i="62"/>
  <c r="BH139" i="62"/>
  <c r="BG139" i="62"/>
  <c r="BF139" i="62"/>
  <c r="BE139" i="62"/>
  <c r="BD139" i="62"/>
  <c r="BC139" i="62"/>
  <c r="BB139" i="62"/>
  <c r="BA139" i="62"/>
  <c r="AZ139" i="62"/>
  <c r="AY139" i="62"/>
  <c r="AX139" i="62"/>
  <c r="AW139" i="62"/>
  <c r="AV139" i="62"/>
  <c r="AU139" i="62"/>
  <c r="AC139" i="62"/>
  <c r="AB139" i="62"/>
  <c r="AA139" i="62"/>
  <c r="Z139" i="62"/>
  <c r="Y139" i="62"/>
  <c r="X139" i="62"/>
  <c r="V139" i="62"/>
  <c r="U139" i="62"/>
  <c r="T139" i="62"/>
  <c r="S139" i="62"/>
  <c r="R139" i="62"/>
  <c r="J139" i="62"/>
  <c r="F139" i="62"/>
  <c r="I128" i="62"/>
  <c r="D128" i="62"/>
  <c r="J128" i="62" s="1"/>
  <c r="I127" i="62"/>
  <c r="D127" i="62"/>
  <c r="J127" i="62" s="1"/>
  <c r="I126" i="62"/>
  <c r="D126" i="62"/>
  <c r="J126" i="62" s="1"/>
  <c r="I125" i="62"/>
  <c r="D125" i="62"/>
  <c r="J125" i="62" s="1"/>
  <c r="I124" i="62"/>
  <c r="D124" i="62"/>
  <c r="J124" i="62" s="1"/>
  <c r="J123" i="62"/>
  <c r="I123" i="62"/>
  <c r="D123" i="62"/>
  <c r="S122" i="62"/>
  <c r="J122" i="62"/>
  <c r="I122" i="62"/>
  <c r="D122" i="62"/>
  <c r="S121" i="62"/>
  <c r="J121" i="62"/>
  <c r="I121" i="62"/>
  <c r="D121" i="62"/>
  <c r="S120" i="62"/>
  <c r="J120" i="62"/>
  <c r="I120" i="62"/>
  <c r="D120" i="62"/>
  <c r="S119" i="62"/>
  <c r="J119" i="62"/>
  <c r="I119" i="62"/>
  <c r="D119" i="62"/>
  <c r="S118" i="62"/>
  <c r="J118" i="62"/>
  <c r="I118" i="62"/>
  <c r="D118" i="62"/>
  <c r="S117" i="62"/>
  <c r="J117" i="62"/>
  <c r="I117" i="62"/>
  <c r="D117" i="62"/>
  <c r="H106" i="62"/>
  <c r="B103" i="62"/>
  <c r="A103" i="62"/>
  <c r="AZ102" i="62"/>
  <c r="AY102" i="62"/>
  <c r="AX102" i="62"/>
  <c r="AW102" i="62"/>
  <c r="AV102" i="62"/>
  <c r="AU102" i="62"/>
  <c r="AT102" i="62"/>
  <c r="AS102" i="62"/>
  <c r="AR102" i="62"/>
  <c r="AQ102" i="62"/>
  <c r="P102" i="62"/>
  <c r="N102" i="62"/>
  <c r="F102" i="62"/>
  <c r="AZ101" i="62"/>
  <c r="AY101" i="62"/>
  <c r="AX101" i="62"/>
  <c r="AW101" i="62"/>
  <c r="AV101" i="62"/>
  <c r="AU101" i="62"/>
  <c r="AT101" i="62"/>
  <c r="AS101" i="62"/>
  <c r="AR101" i="62"/>
  <c r="AQ101" i="62"/>
  <c r="P101" i="62"/>
  <c r="N101" i="62"/>
  <c r="F101" i="62"/>
  <c r="L101" i="62" s="1"/>
  <c r="AZ100" i="62"/>
  <c r="AY100" i="62"/>
  <c r="AX100" i="62"/>
  <c r="AW100" i="62"/>
  <c r="AV100" i="62"/>
  <c r="AU100" i="62"/>
  <c r="AT100" i="62"/>
  <c r="AS100" i="62"/>
  <c r="AR100" i="62"/>
  <c r="AQ100" i="62"/>
  <c r="P100" i="62"/>
  <c r="N100" i="62"/>
  <c r="L100" i="62"/>
  <c r="F100" i="62"/>
  <c r="AZ99" i="62"/>
  <c r="AY99" i="62"/>
  <c r="AX99" i="62"/>
  <c r="AW99" i="62"/>
  <c r="AV99" i="62"/>
  <c r="AU99" i="62"/>
  <c r="AT99" i="62"/>
  <c r="AS99" i="62"/>
  <c r="AR99" i="62"/>
  <c r="AQ99" i="62"/>
  <c r="P99" i="62"/>
  <c r="N99" i="62"/>
  <c r="M99" i="62"/>
  <c r="F99" i="62"/>
  <c r="AZ98" i="62"/>
  <c r="AY98" i="62"/>
  <c r="AX98" i="62"/>
  <c r="AW98" i="62"/>
  <c r="AV98" i="62"/>
  <c r="AU98" i="62"/>
  <c r="AT98" i="62"/>
  <c r="AS98" i="62"/>
  <c r="AR98" i="62"/>
  <c r="AQ98" i="62"/>
  <c r="P98" i="62"/>
  <c r="N98" i="62"/>
  <c r="F98" i="62"/>
  <c r="AZ97" i="62"/>
  <c r="AY97" i="62"/>
  <c r="AX97" i="62"/>
  <c r="AW97" i="62"/>
  <c r="AV97" i="62"/>
  <c r="AU97" i="62"/>
  <c r="AT97" i="62"/>
  <c r="AS97" i="62"/>
  <c r="AR97" i="62"/>
  <c r="AQ97" i="62"/>
  <c r="P97" i="62"/>
  <c r="N97" i="62"/>
  <c r="F97" i="62"/>
  <c r="L97" i="62" s="1"/>
  <c r="AZ96" i="62"/>
  <c r="AY96" i="62"/>
  <c r="AX96" i="62"/>
  <c r="AW96" i="62"/>
  <c r="AV96" i="62"/>
  <c r="AU96" i="62"/>
  <c r="AT96" i="62"/>
  <c r="AS96" i="62"/>
  <c r="AR96" i="62"/>
  <c r="AQ96" i="62"/>
  <c r="P96" i="62"/>
  <c r="N96" i="62"/>
  <c r="L96" i="62"/>
  <c r="F96" i="62"/>
  <c r="AZ95" i="62"/>
  <c r="AY95" i="62"/>
  <c r="AX95" i="62"/>
  <c r="AW95" i="62"/>
  <c r="AV95" i="62"/>
  <c r="AU95" i="62"/>
  <c r="AT95" i="62"/>
  <c r="AS95" i="62"/>
  <c r="AR95" i="62"/>
  <c r="AQ95" i="62"/>
  <c r="P95" i="62"/>
  <c r="N95" i="62"/>
  <c r="M95" i="62"/>
  <c r="F95" i="62"/>
  <c r="AZ94" i="62"/>
  <c r="AY94" i="62"/>
  <c r="AX94" i="62"/>
  <c r="AW94" i="62"/>
  <c r="AV94" i="62"/>
  <c r="AU94" i="62"/>
  <c r="AT94" i="62"/>
  <c r="AS94" i="62"/>
  <c r="AR94" i="62"/>
  <c r="AQ94" i="62"/>
  <c r="P94" i="62"/>
  <c r="N94" i="62"/>
  <c r="F94" i="62"/>
  <c r="AZ93" i="62"/>
  <c r="AY93" i="62"/>
  <c r="AX93" i="62"/>
  <c r="AW93" i="62"/>
  <c r="AV93" i="62"/>
  <c r="AU93" i="62"/>
  <c r="AT93" i="62"/>
  <c r="AS93" i="62"/>
  <c r="AR93" i="62"/>
  <c r="AQ93" i="62"/>
  <c r="P93" i="62"/>
  <c r="N93" i="62"/>
  <c r="F93" i="62"/>
  <c r="L93" i="62" s="1"/>
  <c r="AZ92" i="62"/>
  <c r="AY92" i="62"/>
  <c r="AX92" i="62"/>
  <c r="AW92" i="62"/>
  <c r="AV92" i="62"/>
  <c r="AU92" i="62"/>
  <c r="AT92" i="62"/>
  <c r="AS92" i="62"/>
  <c r="AR92" i="62"/>
  <c r="AQ92" i="62"/>
  <c r="P92" i="62"/>
  <c r="N92" i="62"/>
  <c r="L92" i="62"/>
  <c r="F92" i="62"/>
  <c r="AZ91" i="62"/>
  <c r="AY91" i="62"/>
  <c r="AX91" i="62"/>
  <c r="AW91" i="62"/>
  <c r="AV91" i="62"/>
  <c r="AU91" i="62"/>
  <c r="AT91" i="62"/>
  <c r="AS91" i="62"/>
  <c r="AR91" i="62"/>
  <c r="AQ91" i="62"/>
  <c r="P91" i="62"/>
  <c r="N91" i="62"/>
  <c r="M91" i="62"/>
  <c r="F91" i="62"/>
  <c r="AZ90" i="62"/>
  <c r="AY90" i="62"/>
  <c r="AX90" i="62"/>
  <c r="AW90" i="62"/>
  <c r="AV90" i="62"/>
  <c r="AU90" i="62"/>
  <c r="AT90" i="62"/>
  <c r="AS90" i="62"/>
  <c r="AR90" i="62"/>
  <c r="AQ90" i="62"/>
  <c r="P90" i="62"/>
  <c r="N90" i="62"/>
  <c r="F90" i="62"/>
  <c r="AZ89" i="62"/>
  <c r="AY89" i="62"/>
  <c r="AX89" i="62"/>
  <c r="AW89" i="62"/>
  <c r="AV89" i="62"/>
  <c r="AU89" i="62"/>
  <c r="AT89" i="62"/>
  <c r="AS89" i="62"/>
  <c r="AR89" i="62"/>
  <c r="AQ89" i="62"/>
  <c r="P89" i="62"/>
  <c r="N89" i="62"/>
  <c r="F89" i="62"/>
  <c r="L89" i="62" s="1"/>
  <c r="AZ88" i="62"/>
  <c r="AY88" i="62"/>
  <c r="AX88" i="62"/>
  <c r="AW88" i="62"/>
  <c r="AV88" i="62"/>
  <c r="AU88" i="62"/>
  <c r="AT88" i="62"/>
  <c r="AS88" i="62"/>
  <c r="AR88" i="62"/>
  <c r="AQ88" i="62"/>
  <c r="P88" i="62"/>
  <c r="N88" i="62"/>
  <c r="L88" i="62"/>
  <c r="F88" i="62"/>
  <c r="AZ87" i="62"/>
  <c r="AY87" i="62"/>
  <c r="AX87" i="62"/>
  <c r="AW87" i="62"/>
  <c r="AV87" i="62"/>
  <c r="AU87" i="62"/>
  <c r="AT87" i="62"/>
  <c r="AS87" i="62"/>
  <c r="AR87" i="62"/>
  <c r="AQ87" i="62"/>
  <c r="P87" i="62"/>
  <c r="N87" i="62"/>
  <c r="M87" i="62"/>
  <c r="F87" i="62"/>
  <c r="AZ86" i="62"/>
  <c r="AY86" i="62"/>
  <c r="AX86" i="62"/>
  <c r="AW86" i="62"/>
  <c r="AV86" i="62"/>
  <c r="AU86" i="62"/>
  <c r="AT86" i="62"/>
  <c r="AS86" i="62"/>
  <c r="AR86" i="62"/>
  <c r="AQ86" i="62"/>
  <c r="P86" i="62"/>
  <c r="N86" i="62"/>
  <c r="F86" i="62"/>
  <c r="AZ85" i="62"/>
  <c r="AY85" i="62"/>
  <c r="AX85" i="62"/>
  <c r="AW85" i="62"/>
  <c r="AV85" i="62"/>
  <c r="AU85" i="62"/>
  <c r="AT85" i="62"/>
  <c r="AS85" i="62"/>
  <c r="AR85" i="62"/>
  <c r="AQ85" i="62"/>
  <c r="P85" i="62"/>
  <c r="N85" i="62"/>
  <c r="F85" i="62"/>
  <c r="L85" i="62" s="1"/>
  <c r="AZ84" i="62"/>
  <c r="AY84" i="62"/>
  <c r="AX84" i="62"/>
  <c r="AW84" i="62"/>
  <c r="AV84" i="62"/>
  <c r="AU84" i="62"/>
  <c r="AT84" i="62"/>
  <c r="AS84" i="62"/>
  <c r="AR84" i="62"/>
  <c r="H84" i="62" s="1"/>
  <c r="AQ84" i="62"/>
  <c r="P84" i="62"/>
  <c r="N84" i="62"/>
  <c r="L84" i="62"/>
  <c r="F84" i="62"/>
  <c r="AZ83" i="62"/>
  <c r="AY83" i="62"/>
  <c r="AX83" i="62"/>
  <c r="AW83" i="62"/>
  <c r="AV83" i="62"/>
  <c r="AU83" i="62"/>
  <c r="AT83" i="62"/>
  <c r="AS83" i="62"/>
  <c r="AR83" i="62"/>
  <c r="AQ83" i="62"/>
  <c r="P83" i="62"/>
  <c r="N83" i="62"/>
  <c r="F83" i="62"/>
  <c r="M83" i="62" s="1"/>
  <c r="AZ82" i="62"/>
  <c r="AY82" i="62"/>
  <c r="AX82" i="62"/>
  <c r="AW82" i="62"/>
  <c r="AV82" i="62"/>
  <c r="AU82" i="62"/>
  <c r="AT82" i="62"/>
  <c r="AS82" i="62"/>
  <c r="AR82" i="62"/>
  <c r="AQ82" i="62"/>
  <c r="P82" i="62"/>
  <c r="N82" i="62"/>
  <c r="F82" i="62"/>
  <c r="AZ81" i="62"/>
  <c r="AY81" i="62"/>
  <c r="AX81" i="62"/>
  <c r="AW81" i="62"/>
  <c r="AV81" i="62"/>
  <c r="AU81" i="62"/>
  <c r="AT81" i="62"/>
  <c r="AS81" i="62"/>
  <c r="AR81" i="62"/>
  <c r="AQ81" i="62"/>
  <c r="P81" i="62"/>
  <c r="N81" i="62"/>
  <c r="F81" i="62"/>
  <c r="L81" i="62" s="1"/>
  <c r="AZ80" i="62"/>
  <c r="AY80" i="62"/>
  <c r="AX80" i="62"/>
  <c r="AW80" i="62"/>
  <c r="AV80" i="62"/>
  <c r="AU80" i="62"/>
  <c r="AT80" i="62"/>
  <c r="AS80" i="62"/>
  <c r="AR80" i="62"/>
  <c r="AQ80" i="62"/>
  <c r="P80" i="62"/>
  <c r="N80" i="62"/>
  <c r="F80" i="62"/>
  <c r="L80" i="62" s="1"/>
  <c r="AZ79" i="62"/>
  <c r="AY79" i="62"/>
  <c r="AX79" i="62"/>
  <c r="AW79" i="62"/>
  <c r="AV79" i="62"/>
  <c r="AU79" i="62"/>
  <c r="AT79" i="62"/>
  <c r="AS79" i="62"/>
  <c r="AR79" i="62"/>
  <c r="AQ79" i="62"/>
  <c r="P79" i="62"/>
  <c r="N79" i="62"/>
  <c r="F79" i="62"/>
  <c r="M79" i="62" s="1"/>
  <c r="AZ78" i="62"/>
  <c r="AY78" i="62"/>
  <c r="AX78" i="62"/>
  <c r="AW78" i="62"/>
  <c r="AV78" i="62"/>
  <c r="AU78" i="62"/>
  <c r="AT78" i="62"/>
  <c r="AS78" i="62"/>
  <c r="AR78" i="62"/>
  <c r="AQ78" i="62"/>
  <c r="P78" i="62"/>
  <c r="N78" i="62"/>
  <c r="F78" i="62"/>
  <c r="AZ77" i="62"/>
  <c r="AY77" i="62"/>
  <c r="AX77" i="62"/>
  <c r="AW77" i="62"/>
  <c r="AV77" i="62"/>
  <c r="AU77" i="62"/>
  <c r="AT77" i="62"/>
  <c r="AS77" i="62"/>
  <c r="AR77" i="62"/>
  <c r="AQ77" i="62"/>
  <c r="P77" i="62"/>
  <c r="N77" i="62"/>
  <c r="F77" i="62"/>
  <c r="L77" i="62" s="1"/>
  <c r="AZ76" i="62"/>
  <c r="AY76" i="62"/>
  <c r="AX76" i="62"/>
  <c r="AW76" i="62"/>
  <c r="AV76" i="62"/>
  <c r="AU76" i="62"/>
  <c r="AT76" i="62"/>
  <c r="AS76" i="62"/>
  <c r="AR76" i="62"/>
  <c r="AQ76" i="62"/>
  <c r="P76" i="62"/>
  <c r="N76" i="62"/>
  <c r="F76" i="62"/>
  <c r="L76" i="62" s="1"/>
  <c r="AZ75" i="62"/>
  <c r="AY75" i="62"/>
  <c r="AX75" i="62"/>
  <c r="AW75" i="62"/>
  <c r="AV75" i="62"/>
  <c r="AU75" i="62"/>
  <c r="AT75" i="62"/>
  <c r="AS75" i="62"/>
  <c r="AR75" i="62"/>
  <c r="AQ75" i="62"/>
  <c r="P75" i="62"/>
  <c r="N75" i="62"/>
  <c r="F75" i="62"/>
  <c r="M75" i="62" s="1"/>
  <c r="AZ74" i="62"/>
  <c r="AY74" i="62"/>
  <c r="AX74" i="62"/>
  <c r="AW74" i="62"/>
  <c r="AV74" i="62"/>
  <c r="AU74" i="62"/>
  <c r="AT74" i="62"/>
  <c r="AS74" i="62"/>
  <c r="AR74" i="62"/>
  <c r="AQ74" i="62"/>
  <c r="P74" i="62"/>
  <c r="N74" i="62"/>
  <c r="F74" i="62"/>
  <c r="M74" i="62" s="1"/>
  <c r="AZ73" i="62"/>
  <c r="AY73" i="62"/>
  <c r="AX73" i="62"/>
  <c r="AW73" i="62"/>
  <c r="AV73" i="62"/>
  <c r="AU73" i="62"/>
  <c r="AT73" i="62"/>
  <c r="AS73" i="62"/>
  <c r="AR73" i="62"/>
  <c r="AQ73" i="62"/>
  <c r="P73" i="62"/>
  <c r="N73" i="62"/>
  <c r="F73" i="62"/>
  <c r="L73" i="62" s="1"/>
  <c r="AZ72" i="62"/>
  <c r="AY72" i="62"/>
  <c r="AX72" i="62"/>
  <c r="AW72" i="62"/>
  <c r="AV72" i="62"/>
  <c r="AU72" i="62"/>
  <c r="AT72" i="62"/>
  <c r="AS72" i="62"/>
  <c r="AR72" i="62"/>
  <c r="AQ72" i="62"/>
  <c r="P72" i="62"/>
  <c r="N72" i="62"/>
  <c r="F72" i="62"/>
  <c r="L72" i="62" s="1"/>
  <c r="AZ71" i="62"/>
  <c r="AX71" i="62"/>
  <c r="AW71" i="62"/>
  <c r="AV71" i="62"/>
  <c r="AU71" i="62"/>
  <c r="AT71" i="62"/>
  <c r="AS71" i="62"/>
  <c r="AR71" i="62"/>
  <c r="AQ71" i="62"/>
  <c r="P71" i="62"/>
  <c r="N71" i="62"/>
  <c r="F71" i="62"/>
  <c r="M71" i="62" s="1"/>
  <c r="AZ70" i="62"/>
  <c r="AX70" i="62"/>
  <c r="AW70" i="62"/>
  <c r="AV70" i="62"/>
  <c r="AU70" i="62"/>
  <c r="AT70" i="62"/>
  <c r="AS70" i="62"/>
  <c r="AR70" i="62"/>
  <c r="AQ70" i="62"/>
  <c r="P70" i="62"/>
  <c r="N70" i="62"/>
  <c r="M70" i="62"/>
  <c r="F70" i="62"/>
  <c r="L70" i="62" s="1"/>
  <c r="AY69" i="62"/>
  <c r="AX69" i="62"/>
  <c r="AW69" i="62"/>
  <c r="AV69" i="62"/>
  <c r="AU69" i="62"/>
  <c r="AT69" i="62"/>
  <c r="AS69" i="62"/>
  <c r="AR69" i="62"/>
  <c r="AQ69" i="62"/>
  <c r="AZ69" i="62"/>
  <c r="P69" i="62"/>
  <c r="N69" i="62"/>
  <c r="F69" i="62"/>
  <c r="M69" i="62" s="1"/>
  <c r="AZ68" i="62"/>
  <c r="AY68" i="62"/>
  <c r="AX68" i="62"/>
  <c r="AW68" i="62"/>
  <c r="AV68" i="62"/>
  <c r="AU68" i="62"/>
  <c r="AT68" i="62"/>
  <c r="AS68" i="62"/>
  <c r="AR68" i="62"/>
  <c r="AQ68" i="62"/>
  <c r="P68" i="62"/>
  <c r="N68" i="62"/>
  <c r="F68" i="62"/>
  <c r="L68" i="62" s="1"/>
  <c r="AZ67" i="62"/>
  <c r="AX67" i="62"/>
  <c r="AW67" i="62"/>
  <c r="AV67" i="62"/>
  <c r="AU67" i="62"/>
  <c r="AT67" i="62"/>
  <c r="AS67" i="62"/>
  <c r="AR67" i="62"/>
  <c r="AQ67" i="62"/>
  <c r="P67" i="62"/>
  <c r="N67" i="62"/>
  <c r="F67" i="62"/>
  <c r="AZ66" i="62"/>
  <c r="AX66" i="62"/>
  <c r="AW66" i="62"/>
  <c r="AV66" i="62"/>
  <c r="AU66" i="62"/>
  <c r="AT66" i="62"/>
  <c r="AS66" i="62"/>
  <c r="AR66" i="62"/>
  <c r="AQ66" i="62"/>
  <c r="P66" i="62"/>
  <c r="N66" i="62"/>
  <c r="F66" i="62"/>
  <c r="AZ65" i="62"/>
  <c r="AX65" i="62"/>
  <c r="AW65" i="62"/>
  <c r="AV65" i="62"/>
  <c r="AU65" i="62"/>
  <c r="AT65" i="62"/>
  <c r="AS65" i="62"/>
  <c r="AR65" i="62"/>
  <c r="AQ65" i="62"/>
  <c r="P65" i="62"/>
  <c r="N65" i="62"/>
  <c r="F65" i="62"/>
  <c r="M65" i="62" s="1"/>
  <c r="AZ64" i="62"/>
  <c r="AY64" i="62"/>
  <c r="AX64" i="62"/>
  <c r="AW64" i="62"/>
  <c r="AV64" i="62"/>
  <c r="AU64" i="62"/>
  <c r="AT64" i="62"/>
  <c r="AS64" i="62"/>
  <c r="AR64" i="62"/>
  <c r="AQ64" i="62"/>
  <c r="P64" i="62"/>
  <c r="N64" i="62"/>
  <c r="F64" i="62"/>
  <c r="L64" i="62" s="1"/>
  <c r="AZ63" i="62"/>
  <c r="AY63" i="62"/>
  <c r="AX63" i="62"/>
  <c r="AW63" i="62"/>
  <c r="AV63" i="62"/>
  <c r="AU63" i="62"/>
  <c r="AT63" i="62"/>
  <c r="AR63" i="62"/>
  <c r="AQ63" i="62"/>
  <c r="P63" i="62"/>
  <c r="N63" i="62"/>
  <c r="F63" i="62"/>
  <c r="AZ62" i="62"/>
  <c r="AY62" i="62"/>
  <c r="AX62" i="62"/>
  <c r="AW62" i="62"/>
  <c r="AV62" i="62"/>
  <c r="AU62" i="62"/>
  <c r="AT62" i="62"/>
  <c r="AR62" i="62"/>
  <c r="AQ62" i="62"/>
  <c r="AS62" i="62"/>
  <c r="P62" i="62"/>
  <c r="N62" i="62"/>
  <c r="F62" i="62"/>
  <c r="AY61" i="62"/>
  <c r="AX61" i="62"/>
  <c r="AW61" i="62"/>
  <c r="AV61" i="62"/>
  <c r="AU61" i="62"/>
  <c r="AT61" i="62"/>
  <c r="AS61" i="62"/>
  <c r="AR61" i="62"/>
  <c r="AQ61" i="62"/>
  <c r="P61" i="62"/>
  <c r="N61" i="62"/>
  <c r="F61" i="62"/>
  <c r="AY60" i="62"/>
  <c r="AX60" i="62"/>
  <c r="AW60" i="62"/>
  <c r="AV60" i="62"/>
  <c r="AU60" i="62"/>
  <c r="AT60" i="62"/>
  <c r="AS60" i="62"/>
  <c r="AR60" i="62"/>
  <c r="AQ60" i="62"/>
  <c r="P60" i="62"/>
  <c r="N60" i="62"/>
  <c r="F60" i="62"/>
  <c r="AZ60" i="62" s="1"/>
  <c r="AY59" i="62"/>
  <c r="AX59" i="62"/>
  <c r="AW59" i="62"/>
  <c r="AV59" i="62"/>
  <c r="AU59" i="62"/>
  <c r="AT59" i="62"/>
  <c r="AS59" i="62"/>
  <c r="AR59" i="62"/>
  <c r="AQ59" i="62"/>
  <c r="P59" i="62"/>
  <c r="N59" i="62"/>
  <c r="F59" i="62"/>
  <c r="M59" i="62" s="1"/>
  <c r="AZ58" i="62"/>
  <c r="AX58" i="62"/>
  <c r="AW58" i="62"/>
  <c r="AV58" i="62"/>
  <c r="AU58" i="62"/>
  <c r="AT58" i="62"/>
  <c r="AS58" i="62"/>
  <c r="AR58" i="62"/>
  <c r="AQ58" i="62"/>
  <c r="P58" i="62"/>
  <c r="N58" i="62"/>
  <c r="M58" i="62"/>
  <c r="F58" i="62"/>
  <c r="L58" i="62" s="1"/>
  <c r="AZ57" i="62"/>
  <c r="AX57" i="62"/>
  <c r="AW57" i="62"/>
  <c r="AV57" i="62"/>
  <c r="AU57" i="62"/>
  <c r="AT57" i="62"/>
  <c r="AS57" i="62"/>
  <c r="AR57" i="62"/>
  <c r="AQ57" i="62"/>
  <c r="P57" i="62"/>
  <c r="N57" i="62"/>
  <c r="F57" i="62"/>
  <c r="L57" i="62" s="1"/>
  <c r="AZ56" i="62"/>
  <c r="AX56" i="62"/>
  <c r="AW56" i="62"/>
  <c r="AV56" i="62"/>
  <c r="AU56" i="62"/>
  <c r="AT56" i="62"/>
  <c r="AS56" i="62"/>
  <c r="AR56" i="62"/>
  <c r="AQ56" i="62"/>
  <c r="AY56" i="62"/>
  <c r="P56" i="62"/>
  <c r="N56" i="62"/>
  <c r="F56" i="62"/>
  <c r="L56" i="62" s="1"/>
  <c r="AZ55" i="62"/>
  <c r="AX55" i="62"/>
  <c r="AW55" i="62"/>
  <c r="AV55" i="62"/>
  <c r="AU55" i="62"/>
  <c r="AT55" i="62"/>
  <c r="AS55" i="62"/>
  <c r="AR55" i="62"/>
  <c r="AQ55" i="62"/>
  <c r="P55" i="62"/>
  <c r="N55" i="62"/>
  <c r="F55" i="62"/>
  <c r="M55" i="62" s="1"/>
  <c r="AZ54" i="62"/>
  <c r="AX54" i="62"/>
  <c r="AW54" i="62"/>
  <c r="AV54" i="62"/>
  <c r="AU54" i="62"/>
  <c r="AT54" i="62"/>
  <c r="AS54" i="62"/>
  <c r="AR54" i="62"/>
  <c r="AQ54" i="62"/>
  <c r="P54" i="62"/>
  <c r="N54" i="62"/>
  <c r="F54" i="62"/>
  <c r="M54" i="62" s="1"/>
  <c r="AZ53" i="62"/>
  <c r="AX53" i="62"/>
  <c r="AW53" i="62"/>
  <c r="AV53" i="62"/>
  <c r="AU53" i="62"/>
  <c r="AT53" i="62"/>
  <c r="AS53" i="62"/>
  <c r="AR53" i="62"/>
  <c r="AQ53" i="62"/>
  <c r="P53" i="62"/>
  <c r="N53" i="62"/>
  <c r="L53" i="62"/>
  <c r="F53" i="62"/>
  <c r="M53" i="62" s="1"/>
  <c r="AZ52" i="62"/>
  <c r="AY52" i="62"/>
  <c r="AX52" i="62"/>
  <c r="AW52" i="62"/>
  <c r="AV52" i="62"/>
  <c r="AU52" i="62"/>
  <c r="AT52" i="62"/>
  <c r="AS52" i="62"/>
  <c r="AR52" i="62"/>
  <c r="AQ52" i="62"/>
  <c r="P52" i="62"/>
  <c r="N52" i="62"/>
  <c r="F52" i="62"/>
  <c r="L52" i="62" s="1"/>
  <c r="AZ51" i="62"/>
  <c r="AX51" i="62"/>
  <c r="AW51" i="62"/>
  <c r="AV51" i="62"/>
  <c r="AU51" i="62"/>
  <c r="AT51" i="62"/>
  <c r="AS51" i="62"/>
  <c r="AR51" i="62"/>
  <c r="AQ51" i="62"/>
  <c r="P51" i="62"/>
  <c r="N51" i="62"/>
  <c r="F51" i="62"/>
  <c r="L46" i="62"/>
  <c r="BT44" i="62"/>
  <c r="BS44" i="62"/>
  <c r="BR44" i="62"/>
  <c r="BQ44" i="62"/>
  <c r="BP44" i="62"/>
  <c r="BO44" i="62"/>
  <c r="BN44" i="62"/>
  <c r="BM44" i="62"/>
  <c r="BL44" i="62"/>
  <c r="BK44" i="62"/>
  <c r="BJ44" i="62"/>
  <c r="BI44" i="62"/>
  <c r="BH44" i="62"/>
  <c r="BG44" i="62"/>
  <c r="BF44" i="62"/>
  <c r="BE44" i="62"/>
  <c r="BD44" i="62"/>
  <c r="BC44" i="62"/>
  <c r="BB44" i="62"/>
  <c r="BA44" i="62"/>
  <c r="AZ44" i="62"/>
  <c r="AY44" i="62"/>
  <c r="AX44" i="62"/>
  <c r="AW44" i="62"/>
  <c r="AV44" i="62"/>
  <c r="AU44" i="62"/>
  <c r="AG44" i="62"/>
  <c r="AE44" i="62"/>
  <c r="AC44" i="62"/>
  <c r="AB44" i="62"/>
  <c r="AA44" i="62"/>
  <c r="Z44" i="62"/>
  <c r="Y44" i="62"/>
  <c r="X44" i="62"/>
  <c r="W44" i="62"/>
  <c r="V44" i="62"/>
  <c r="U44" i="62"/>
  <c r="T44" i="62"/>
  <c r="S44" i="62"/>
  <c r="R44" i="62"/>
  <c r="Q44" i="62"/>
  <c r="J44" i="62"/>
  <c r="F44" i="62"/>
  <c r="BT43" i="62"/>
  <c r="BS43" i="62"/>
  <c r="BR43" i="62"/>
  <c r="BQ43" i="62"/>
  <c r="BP43" i="62"/>
  <c r="BO43" i="62"/>
  <c r="BN43" i="62"/>
  <c r="BM43" i="62"/>
  <c r="BL43" i="62"/>
  <c r="BK43" i="62"/>
  <c r="BJ43" i="62"/>
  <c r="BI43" i="62"/>
  <c r="BH43" i="62"/>
  <c r="BG43" i="62"/>
  <c r="BF43" i="62"/>
  <c r="BE43" i="62"/>
  <c r="BD43" i="62"/>
  <c r="BC43" i="62"/>
  <c r="BB43" i="62"/>
  <c r="BA43" i="62"/>
  <c r="AZ43" i="62"/>
  <c r="AY43" i="62"/>
  <c r="AX43" i="62"/>
  <c r="AW43" i="62"/>
  <c r="AV43" i="62"/>
  <c r="AU43" i="62"/>
  <c r="AG43" i="62"/>
  <c r="AE43" i="62"/>
  <c r="AC43" i="62"/>
  <c r="AB43" i="62"/>
  <c r="AA43" i="62"/>
  <c r="Z43" i="62"/>
  <c r="Y43" i="62"/>
  <c r="X43" i="62"/>
  <c r="W43" i="62"/>
  <c r="V43" i="62"/>
  <c r="U43" i="62"/>
  <c r="T43" i="62"/>
  <c r="S43" i="62"/>
  <c r="R43" i="62"/>
  <c r="Q43" i="62"/>
  <c r="J43" i="62"/>
  <c r="F43" i="62"/>
  <c r="BT42" i="62"/>
  <c r="BS42" i="62"/>
  <c r="BR42" i="62"/>
  <c r="BQ42" i="62"/>
  <c r="BP42" i="62"/>
  <c r="BO42" i="62"/>
  <c r="BN42" i="62"/>
  <c r="BM42" i="62"/>
  <c r="BL42" i="62"/>
  <c r="BK42" i="62"/>
  <c r="BJ42" i="62"/>
  <c r="BI42" i="62"/>
  <c r="BH42" i="62"/>
  <c r="BG42" i="62"/>
  <c r="BF42" i="62"/>
  <c r="BE42" i="62"/>
  <c r="BD42" i="62"/>
  <c r="BC42" i="62"/>
  <c r="BB42" i="62"/>
  <c r="BA42" i="62"/>
  <c r="AZ42" i="62"/>
  <c r="AY42" i="62"/>
  <c r="AX42" i="62"/>
  <c r="AW42" i="62"/>
  <c r="AU42" i="62"/>
  <c r="AG42" i="62"/>
  <c r="AE42" i="62"/>
  <c r="AC42" i="62"/>
  <c r="AB42" i="62"/>
  <c r="AA42" i="62"/>
  <c r="Z42" i="62"/>
  <c r="Y42" i="62"/>
  <c r="X42" i="62"/>
  <c r="W42" i="62"/>
  <c r="V42" i="62"/>
  <c r="U42" i="62"/>
  <c r="T42" i="62"/>
  <c r="S42" i="62"/>
  <c r="Q42" i="62"/>
  <c r="J42" i="62"/>
  <c r="F42" i="62"/>
  <c r="BT41" i="62"/>
  <c r="BS41" i="62"/>
  <c r="BR41" i="62"/>
  <c r="BQ41" i="62"/>
  <c r="BP41" i="62"/>
  <c r="BO41" i="62"/>
  <c r="BN41" i="62"/>
  <c r="BM41" i="62"/>
  <c r="BL41" i="62"/>
  <c r="BK41" i="62"/>
  <c r="BJ41" i="62"/>
  <c r="BI41" i="62"/>
  <c r="BH41" i="62"/>
  <c r="BF41" i="62"/>
  <c r="BE41" i="62"/>
  <c r="BD41" i="62"/>
  <c r="BC41" i="62"/>
  <c r="BB41" i="62"/>
  <c r="BA41" i="62"/>
  <c r="AZ41" i="62"/>
  <c r="AY41" i="62"/>
  <c r="AX41" i="62"/>
  <c r="AW41" i="62"/>
  <c r="AV41" i="62"/>
  <c r="AU41" i="62"/>
  <c r="AG41" i="62"/>
  <c r="AE41" i="62"/>
  <c r="AB41" i="62"/>
  <c r="AA41" i="62"/>
  <c r="Z41" i="62"/>
  <c r="Y41" i="62"/>
  <c r="X41" i="62"/>
  <c r="W41" i="62"/>
  <c r="V41" i="62"/>
  <c r="U41" i="62"/>
  <c r="T41" i="62"/>
  <c r="S41" i="62"/>
  <c r="R41" i="62"/>
  <c r="Q41" i="62"/>
  <c r="J41" i="62"/>
  <c r="F41" i="62"/>
  <c r="BT40" i="62"/>
  <c r="BS40" i="62"/>
  <c r="BR40" i="62"/>
  <c r="BQ40" i="62"/>
  <c r="BP40" i="62"/>
  <c r="BO40" i="62"/>
  <c r="BN40" i="62"/>
  <c r="BM40" i="62"/>
  <c r="BL40" i="62"/>
  <c r="BK40" i="62"/>
  <c r="BJ40" i="62"/>
  <c r="BI40" i="62"/>
  <c r="BH40" i="62"/>
  <c r="BF40" i="62"/>
  <c r="BE40" i="62"/>
  <c r="BD40" i="62"/>
  <c r="BC40" i="62"/>
  <c r="BB40" i="62"/>
  <c r="BA40" i="62"/>
  <c r="AZ40" i="62"/>
  <c r="AY40" i="62"/>
  <c r="AX40" i="62"/>
  <c r="AW40" i="62"/>
  <c r="AV40" i="62"/>
  <c r="AU40" i="62"/>
  <c r="BG40" i="62"/>
  <c r="AG40" i="62"/>
  <c r="AE40" i="62"/>
  <c r="AB40" i="62"/>
  <c r="AA40" i="62"/>
  <c r="Z40" i="62"/>
  <c r="Y40" i="62"/>
  <c r="X40" i="62"/>
  <c r="W40" i="62"/>
  <c r="V40" i="62"/>
  <c r="U40" i="62"/>
  <c r="T40" i="62"/>
  <c r="R40" i="62"/>
  <c r="Q40" i="62"/>
  <c r="J40" i="62"/>
  <c r="F40" i="62"/>
  <c r="BT39" i="62"/>
  <c r="BS39" i="62"/>
  <c r="BR39" i="62"/>
  <c r="BQ39" i="62"/>
  <c r="BP39" i="62"/>
  <c r="BO39" i="62"/>
  <c r="BN39" i="62"/>
  <c r="BM39" i="62"/>
  <c r="BL39" i="62"/>
  <c r="BK39" i="62"/>
  <c r="BJ39" i="62"/>
  <c r="BI39" i="62"/>
  <c r="BH39" i="62"/>
  <c r="BG39" i="62"/>
  <c r="BF39" i="62"/>
  <c r="BE39" i="62"/>
  <c r="BD39" i="62"/>
  <c r="BC39" i="62"/>
  <c r="BB39" i="62"/>
  <c r="BA39" i="62"/>
  <c r="AZ39" i="62"/>
  <c r="AY39" i="62"/>
  <c r="AX39" i="62"/>
  <c r="AW39" i="62"/>
  <c r="AU39" i="62"/>
  <c r="AG39" i="62"/>
  <c r="AE39" i="62"/>
  <c r="AC39" i="62"/>
  <c r="AB39" i="62"/>
  <c r="AA39" i="62"/>
  <c r="Z39" i="62"/>
  <c r="Y39" i="62"/>
  <c r="X39" i="62"/>
  <c r="W39" i="62"/>
  <c r="V39" i="62"/>
  <c r="U39" i="62"/>
  <c r="T39" i="62"/>
  <c r="Q39" i="62"/>
  <c r="J39" i="62"/>
  <c r="F39" i="62"/>
  <c r="BT38" i="62"/>
  <c r="BS38" i="62"/>
  <c r="BR38" i="62"/>
  <c r="BQ38" i="62"/>
  <c r="BP38" i="62"/>
  <c r="BO38" i="62"/>
  <c r="BN38" i="62"/>
  <c r="BM38" i="62"/>
  <c r="BL38" i="62"/>
  <c r="BK38" i="62"/>
  <c r="BJ38" i="62"/>
  <c r="BI38" i="62"/>
  <c r="BH38" i="62"/>
  <c r="BG38" i="62"/>
  <c r="BE38" i="62"/>
  <c r="BD38" i="62"/>
  <c r="BC38" i="62"/>
  <c r="BB38" i="62"/>
  <c r="BA38" i="62"/>
  <c r="AZ38" i="62"/>
  <c r="AY38" i="62"/>
  <c r="AX38" i="62"/>
  <c r="AW38" i="62"/>
  <c r="AV38" i="62"/>
  <c r="AU38" i="62"/>
  <c r="AG38" i="62"/>
  <c r="AE38" i="62"/>
  <c r="AC38" i="62"/>
  <c r="AA38" i="62"/>
  <c r="Z38" i="62"/>
  <c r="Y38" i="62"/>
  <c r="X38" i="62"/>
  <c r="W38" i="62"/>
  <c r="V38" i="62"/>
  <c r="U38" i="62"/>
  <c r="T38" i="62"/>
  <c r="R38" i="62"/>
  <c r="Q38" i="62"/>
  <c r="J38" i="62"/>
  <c r="F38" i="62"/>
  <c r="BT37" i="62"/>
  <c r="BS37" i="62"/>
  <c r="BR37" i="62"/>
  <c r="BQ37" i="62"/>
  <c r="BP37" i="62"/>
  <c r="BO37" i="62"/>
  <c r="BN37" i="62"/>
  <c r="BM37" i="62"/>
  <c r="BL37" i="62"/>
  <c r="BK37" i="62"/>
  <c r="BJ37" i="62"/>
  <c r="BI37" i="62"/>
  <c r="BH37" i="62"/>
  <c r="BG37" i="62"/>
  <c r="BE37" i="62"/>
  <c r="BD37" i="62"/>
  <c r="BC37" i="62"/>
  <c r="BB37" i="62"/>
  <c r="BA37" i="62"/>
  <c r="AZ37" i="62"/>
  <c r="AY37" i="62"/>
  <c r="AX37" i="62"/>
  <c r="AW37" i="62"/>
  <c r="AV37" i="62"/>
  <c r="AU37" i="62"/>
  <c r="AG37" i="62"/>
  <c r="AE37" i="62"/>
  <c r="AC37" i="62"/>
  <c r="AA37" i="62"/>
  <c r="Z37" i="62"/>
  <c r="Y37" i="62"/>
  <c r="X37" i="62"/>
  <c r="W37" i="62"/>
  <c r="V37" i="62"/>
  <c r="U37" i="62"/>
  <c r="T37" i="62"/>
  <c r="R37" i="62"/>
  <c r="Q37" i="62"/>
  <c r="J37" i="62"/>
  <c r="F37" i="62"/>
  <c r="BT36" i="62"/>
  <c r="BS36" i="62"/>
  <c r="BR36" i="62"/>
  <c r="BQ36" i="62"/>
  <c r="BP36" i="62"/>
  <c r="BO36" i="62"/>
  <c r="BN36" i="62"/>
  <c r="BM36" i="62"/>
  <c r="BL36" i="62"/>
  <c r="BK36" i="62"/>
  <c r="BJ36" i="62"/>
  <c r="BI36" i="62"/>
  <c r="BH36" i="62"/>
  <c r="BG36" i="62"/>
  <c r="BE36" i="62"/>
  <c r="BD36" i="62"/>
  <c r="BC36" i="62"/>
  <c r="BB36" i="62"/>
  <c r="BA36" i="62"/>
  <c r="AZ36" i="62"/>
  <c r="AY36" i="62"/>
  <c r="AX36" i="62"/>
  <c r="AW36" i="62"/>
  <c r="AV36" i="62"/>
  <c r="AU36" i="62"/>
  <c r="AG36" i="62"/>
  <c r="AE36" i="62"/>
  <c r="AC36" i="62"/>
  <c r="AA36" i="62"/>
  <c r="Z36" i="62"/>
  <c r="Y36" i="62"/>
  <c r="X36" i="62"/>
  <c r="W36" i="62"/>
  <c r="V36" i="62"/>
  <c r="U36" i="62"/>
  <c r="T36" i="62"/>
  <c r="R36" i="62"/>
  <c r="Q36" i="62"/>
  <c r="J36" i="62"/>
  <c r="F36" i="62"/>
  <c r="BT35" i="62"/>
  <c r="BS35" i="62"/>
  <c r="BR35" i="62"/>
  <c r="BQ35" i="62"/>
  <c r="BP35" i="62"/>
  <c r="BO35" i="62"/>
  <c r="BN35" i="62"/>
  <c r="BM35" i="62"/>
  <c r="BL35" i="62"/>
  <c r="BK35" i="62"/>
  <c r="BJ35" i="62"/>
  <c r="BI35" i="62"/>
  <c r="BH35" i="62"/>
  <c r="BG35" i="62"/>
  <c r="BE35" i="62"/>
  <c r="BD35" i="62"/>
  <c r="BC35" i="62"/>
  <c r="BB35" i="62"/>
  <c r="BA35" i="62"/>
  <c r="AZ35" i="62"/>
  <c r="AY35" i="62"/>
  <c r="AX35" i="62"/>
  <c r="AW35" i="62"/>
  <c r="AV35" i="62"/>
  <c r="AU35" i="62"/>
  <c r="AG35" i="62"/>
  <c r="AE35" i="62"/>
  <c r="AC35" i="62"/>
  <c r="AA35" i="62"/>
  <c r="Y35" i="62"/>
  <c r="X35" i="62"/>
  <c r="W35" i="62"/>
  <c r="V35" i="62"/>
  <c r="U35" i="62"/>
  <c r="T35" i="62"/>
  <c r="S35" i="62"/>
  <c r="R35" i="62"/>
  <c r="Q35" i="62"/>
  <c r="J35" i="62"/>
  <c r="F35" i="62"/>
  <c r="BT34" i="62"/>
  <c r="BS34" i="62"/>
  <c r="BR34" i="62"/>
  <c r="BQ34" i="62"/>
  <c r="BP34" i="62"/>
  <c r="BO34" i="62"/>
  <c r="BN34" i="62"/>
  <c r="BM34" i="62"/>
  <c r="BL34" i="62"/>
  <c r="BK34" i="62"/>
  <c r="BJ34" i="62"/>
  <c r="BI34" i="62"/>
  <c r="BH34" i="62"/>
  <c r="BG34" i="62"/>
  <c r="BE34" i="62"/>
  <c r="BD34" i="62"/>
  <c r="BC34" i="62"/>
  <c r="BB34" i="62"/>
  <c r="BA34" i="62"/>
  <c r="AZ34" i="62"/>
  <c r="AY34" i="62"/>
  <c r="AX34" i="62"/>
  <c r="AW34" i="62"/>
  <c r="AV34" i="62"/>
  <c r="AU34" i="62"/>
  <c r="AG34" i="62"/>
  <c r="AE34" i="62"/>
  <c r="AC34" i="62"/>
  <c r="AA34" i="62"/>
  <c r="Z34" i="62"/>
  <c r="Y34" i="62"/>
  <c r="X34" i="62"/>
  <c r="W34" i="62"/>
  <c r="V34" i="62"/>
  <c r="U34" i="62"/>
  <c r="T34" i="62"/>
  <c r="S34" i="62"/>
  <c r="R34" i="62"/>
  <c r="Q34" i="62"/>
  <c r="J34" i="62"/>
  <c r="F34" i="62"/>
  <c r="BT33" i="62"/>
  <c r="BS33" i="62"/>
  <c r="BR33" i="62"/>
  <c r="BQ33" i="62"/>
  <c r="BP33" i="62"/>
  <c r="BO33" i="62"/>
  <c r="BN33" i="62"/>
  <c r="BM33" i="62"/>
  <c r="BL33" i="62"/>
  <c r="BK33" i="62"/>
  <c r="BJ33" i="62"/>
  <c r="BI33" i="62"/>
  <c r="BH33" i="62"/>
  <c r="BG33" i="62"/>
  <c r="BE33" i="62"/>
  <c r="BD33" i="62"/>
  <c r="BC33" i="62"/>
  <c r="BB33" i="62"/>
  <c r="BA33" i="62"/>
  <c r="AZ33" i="62"/>
  <c r="AY33" i="62"/>
  <c r="AX33" i="62"/>
  <c r="AW33" i="62"/>
  <c r="AV33" i="62"/>
  <c r="AU33" i="62"/>
  <c r="AG33" i="62"/>
  <c r="AE33" i="62"/>
  <c r="AC33" i="62"/>
  <c r="AA33" i="62"/>
  <c r="Z33" i="62"/>
  <c r="Y33" i="62"/>
  <c r="X33" i="62"/>
  <c r="W33" i="62"/>
  <c r="V33" i="62"/>
  <c r="U33" i="62"/>
  <c r="T33" i="62"/>
  <c r="R33" i="62"/>
  <c r="Q33" i="62"/>
  <c r="J33" i="62"/>
  <c r="F33" i="62"/>
  <c r="BT8" i="62"/>
  <c r="BS8" i="62"/>
  <c r="BR8" i="62"/>
  <c r="BQ8" i="62"/>
  <c r="BP8" i="62"/>
  <c r="BO8" i="62"/>
  <c r="BN8" i="62"/>
  <c r="BM8" i="62"/>
  <c r="BL8" i="62"/>
  <c r="BK8" i="62"/>
  <c r="BJ8" i="62"/>
  <c r="BI8" i="62"/>
  <c r="BH8" i="62"/>
  <c r="BG8" i="62"/>
  <c r="BE8" i="62"/>
  <c r="BD8" i="62"/>
  <c r="BC8" i="62"/>
  <c r="BB8" i="62"/>
  <c r="BA8" i="62"/>
  <c r="AZ8" i="62"/>
  <c r="AY8" i="62"/>
  <c r="AX8" i="62"/>
  <c r="AW8" i="62"/>
  <c r="AV8" i="62"/>
  <c r="AU8" i="62"/>
  <c r="AG8" i="62"/>
  <c r="AE8" i="62"/>
  <c r="AC8" i="62"/>
  <c r="AA8" i="62"/>
  <c r="Z8" i="62"/>
  <c r="X8" i="62"/>
  <c r="W8" i="62"/>
  <c r="V8" i="62"/>
  <c r="U8" i="62"/>
  <c r="T8" i="62"/>
  <c r="S8" i="62"/>
  <c r="R8" i="62"/>
  <c r="Q8" i="62"/>
  <c r="J8" i="62"/>
  <c r="F8" i="62"/>
  <c r="I47" i="1"/>
  <c r="I46" i="1"/>
  <c r="J43" i="1"/>
  <c r="L43" i="1" s="1"/>
  <c r="J42" i="1"/>
  <c r="L42" i="1" s="1"/>
  <c r="G27" i="1"/>
  <c r="G26" i="1"/>
  <c r="G22" i="1"/>
  <c r="J22" i="1" s="1"/>
  <c r="L22" i="1" s="1"/>
  <c r="I26" i="1"/>
  <c r="G21" i="1"/>
  <c r="J21" i="1" s="1"/>
  <c r="L21" i="1" s="1"/>
  <c r="J20" i="1"/>
  <c r="L20" i="1" s="1"/>
  <c r="T16" i="63" l="1"/>
  <c r="H92" i="62"/>
  <c r="H100" i="62"/>
  <c r="K145" i="62"/>
  <c r="AE145" i="62" s="1"/>
  <c r="K148" i="62"/>
  <c r="N153" i="62"/>
  <c r="K166" i="62"/>
  <c r="AF166" i="62" s="1"/>
  <c r="H178" i="62"/>
  <c r="AG16" i="63"/>
  <c r="BN16" i="63"/>
  <c r="W17" i="63" s="1"/>
  <c r="M31" i="63"/>
  <c r="L34" i="63"/>
  <c r="M47" i="63"/>
  <c r="L50" i="63"/>
  <c r="L57" i="63"/>
  <c r="H57" i="63"/>
  <c r="L61" i="63"/>
  <c r="H61" i="63"/>
  <c r="L65" i="63"/>
  <c r="H65" i="63"/>
  <c r="J36" i="64"/>
  <c r="H96" i="62"/>
  <c r="H193" i="62"/>
  <c r="AB16" i="63"/>
  <c r="AB18" i="63" s="1"/>
  <c r="N8" i="63"/>
  <c r="P8" i="63" s="1"/>
  <c r="BK16" i="63"/>
  <c r="T17" i="63" s="1"/>
  <c r="BS16" i="63"/>
  <c r="AB17" i="63" s="1"/>
  <c r="N12" i="63"/>
  <c r="P12" i="63" s="1"/>
  <c r="V12" i="63" s="1"/>
  <c r="P68" i="63"/>
  <c r="P69" i="63" s="1"/>
  <c r="M27" i="63"/>
  <c r="L30" i="63"/>
  <c r="M43" i="63"/>
  <c r="L46" i="63"/>
  <c r="L56" i="63"/>
  <c r="H56" i="63"/>
  <c r="L60" i="63"/>
  <c r="H60" i="63"/>
  <c r="L64" i="63"/>
  <c r="H64" i="63"/>
  <c r="E36" i="64"/>
  <c r="E38" i="64" s="1"/>
  <c r="K42" i="62"/>
  <c r="H88" i="62"/>
  <c r="K139" i="62"/>
  <c r="AE139" i="62" s="1"/>
  <c r="K144" i="62"/>
  <c r="K146" i="62"/>
  <c r="N155" i="62"/>
  <c r="K164" i="62"/>
  <c r="AE164" i="62" s="1"/>
  <c r="Q16" i="63"/>
  <c r="N11" i="63"/>
  <c r="P11" i="63" s="1"/>
  <c r="U11" i="63" s="1"/>
  <c r="U16" i="63" s="1"/>
  <c r="BJ16" i="63"/>
  <c r="S17" i="63" s="1"/>
  <c r="BR16" i="63"/>
  <c r="AA17" i="63" s="1"/>
  <c r="M23" i="63"/>
  <c r="M39" i="63"/>
  <c r="J21" i="46"/>
  <c r="O21" i="46" s="1"/>
  <c r="J19" i="46"/>
  <c r="D301" i="62"/>
  <c r="H301" i="62" s="1"/>
  <c r="H299" i="62"/>
  <c r="H182" i="62"/>
  <c r="K44" i="62"/>
  <c r="AF44" i="62" s="1"/>
  <c r="H60" i="62"/>
  <c r="L69" i="62"/>
  <c r="S167" i="62"/>
  <c r="S169" i="62" s="1"/>
  <c r="AA167" i="62"/>
  <c r="AA169" i="62" s="1"/>
  <c r="BG167" i="62"/>
  <c r="Q168" i="62" s="1"/>
  <c r="BK167" i="62"/>
  <c r="U168" i="62" s="1"/>
  <c r="BO167" i="62"/>
  <c r="Y168" i="62" s="1"/>
  <c r="BS167" i="62"/>
  <c r="AC168" i="62" s="1"/>
  <c r="K149" i="62"/>
  <c r="M196" i="62"/>
  <c r="L188" i="62"/>
  <c r="AB231" i="62"/>
  <c r="Q231" i="62"/>
  <c r="H68" i="62"/>
  <c r="X231" i="62"/>
  <c r="D293" i="62"/>
  <c r="H293" i="62" s="1"/>
  <c r="K35" i="62"/>
  <c r="K37" i="62"/>
  <c r="AF37" i="62" s="1"/>
  <c r="K39" i="62"/>
  <c r="AF39" i="62" s="1"/>
  <c r="N44" i="62"/>
  <c r="K153" i="62"/>
  <c r="K155" i="62"/>
  <c r="AF155" i="62" s="1"/>
  <c r="K157" i="62"/>
  <c r="AF157" i="62" s="1"/>
  <c r="N158" i="62"/>
  <c r="P158" i="62" s="1"/>
  <c r="K161" i="62"/>
  <c r="K162" i="62"/>
  <c r="AF162" i="62" s="1"/>
  <c r="K165" i="62"/>
  <c r="AF165" i="62" s="1"/>
  <c r="H175" i="62"/>
  <c r="D268" i="62"/>
  <c r="H268" i="62" s="1"/>
  <c r="H295" i="62"/>
  <c r="D326" i="62"/>
  <c r="H326" i="62" s="1"/>
  <c r="H80" i="62"/>
  <c r="H72" i="62"/>
  <c r="H76" i="62"/>
  <c r="H52" i="62"/>
  <c r="H64" i="62"/>
  <c r="H56" i="62"/>
  <c r="L60" i="62"/>
  <c r="AE45" i="62"/>
  <c r="K34" i="62"/>
  <c r="K36" i="62"/>
  <c r="BF36" i="62" s="1"/>
  <c r="K38" i="62"/>
  <c r="AF38" i="62" s="1"/>
  <c r="K40" i="62"/>
  <c r="K43" i="62"/>
  <c r="R167" i="62"/>
  <c r="R169" i="62" s="1"/>
  <c r="V167" i="62"/>
  <c r="V169" i="62" s="1"/>
  <c r="Z167" i="62"/>
  <c r="Z169" i="62" s="1"/>
  <c r="BJ167" i="62"/>
  <c r="T168" i="62" s="1"/>
  <c r="BN167" i="62"/>
  <c r="X168" i="62" s="1"/>
  <c r="BR167" i="62"/>
  <c r="AB168" i="62" s="1"/>
  <c r="N165" i="62"/>
  <c r="P165" i="62" s="1"/>
  <c r="K8" i="62"/>
  <c r="BF8" i="62" s="1"/>
  <c r="T45" i="62"/>
  <c r="X45" i="62"/>
  <c r="X47" i="62" s="1"/>
  <c r="BI45" i="62"/>
  <c r="R46" i="62" s="1"/>
  <c r="BM45" i="62"/>
  <c r="V46" i="62" s="1"/>
  <c r="BQ45" i="62"/>
  <c r="Z46" i="62" s="1"/>
  <c r="K33" i="62"/>
  <c r="AF33" i="62" s="1"/>
  <c r="K41" i="62"/>
  <c r="N157" i="62"/>
  <c r="N43" i="62"/>
  <c r="P43" i="62" s="1"/>
  <c r="N159" i="62"/>
  <c r="BF37" i="62"/>
  <c r="N37" i="62" s="1"/>
  <c r="N8" i="62"/>
  <c r="BF35" i="62"/>
  <c r="N35" i="62" s="1"/>
  <c r="AF35" i="62"/>
  <c r="N36" i="62"/>
  <c r="AV39" i="62"/>
  <c r="N39" i="62" s="1"/>
  <c r="BF33" i="62"/>
  <c r="N33" i="62" s="1"/>
  <c r="BO45" i="62"/>
  <c r="X46" i="62" s="1"/>
  <c r="BF34" i="62"/>
  <c r="N34" i="62" s="1"/>
  <c r="AF34" i="62"/>
  <c r="BF38" i="62"/>
  <c r="N38" i="62" s="1"/>
  <c r="AF40" i="62"/>
  <c r="N40" i="62"/>
  <c r="AF42" i="62"/>
  <c r="AV42" i="62"/>
  <c r="N42" i="62" s="1"/>
  <c r="AF41" i="62"/>
  <c r="BJ45" i="62"/>
  <c r="S46" i="62" s="1"/>
  <c r="AG45" i="62"/>
  <c r="AF36" i="62"/>
  <c r="BG41" i="62"/>
  <c r="N41" i="62" s="1"/>
  <c r="AF43" i="62"/>
  <c r="M66" i="62"/>
  <c r="L66" i="62"/>
  <c r="P153" i="62"/>
  <c r="Q45" i="62"/>
  <c r="U45" i="62"/>
  <c r="U47" i="62" s="1"/>
  <c r="AC45" i="62"/>
  <c r="BN45" i="62"/>
  <c r="W46" i="62" s="1"/>
  <c r="BR45" i="62"/>
  <c r="AA46" i="62" s="1"/>
  <c r="AY51" i="62"/>
  <c r="L51" i="62"/>
  <c r="M51" i="62"/>
  <c r="L63" i="62"/>
  <c r="AS63" i="62"/>
  <c r="H63" i="62" s="1"/>
  <c r="M63" i="62"/>
  <c r="AT142" i="62"/>
  <c r="N142" i="62" s="1"/>
  <c r="AF142" i="62"/>
  <c r="AE142" i="62"/>
  <c r="AY66" i="62"/>
  <c r="H66" i="62" s="1"/>
  <c r="I196" i="62"/>
  <c r="H197" i="62" s="1"/>
  <c r="V45" i="62"/>
  <c r="BK45" i="62"/>
  <c r="T46" i="62" s="1"/>
  <c r="BS45" i="62"/>
  <c r="AB46" i="62" s="1"/>
  <c r="N103" i="62"/>
  <c r="H62" i="62"/>
  <c r="M62" i="62"/>
  <c r="L62" i="62"/>
  <c r="AY67" i="62"/>
  <c r="L67" i="62"/>
  <c r="M67" i="62"/>
  <c r="U167" i="62"/>
  <c r="U169" i="62" s="1"/>
  <c r="Y167" i="62"/>
  <c r="Y169" i="62" s="1"/>
  <c r="AC167" i="62"/>
  <c r="AC169" i="62" s="1"/>
  <c r="AT144" i="62"/>
  <c r="N144" i="62" s="1"/>
  <c r="AF144" i="62"/>
  <c r="AE144" i="62"/>
  <c r="P155" i="62"/>
  <c r="AF156" i="62"/>
  <c r="AE156" i="62"/>
  <c r="AT156" i="62"/>
  <c r="N156" i="62" s="1"/>
  <c r="M61" i="62"/>
  <c r="L61" i="62"/>
  <c r="AZ61" i="62"/>
  <c r="AT140" i="62"/>
  <c r="N140" i="62" s="1"/>
  <c r="AF140" i="62"/>
  <c r="AE140" i="62"/>
  <c r="W45" i="62"/>
  <c r="W47" i="62" s="1"/>
  <c r="AA45" i="62"/>
  <c r="AA47" i="62" s="1"/>
  <c r="BH45" i="62"/>
  <c r="Q46" i="62" s="1"/>
  <c r="BL45" i="62"/>
  <c r="U46" i="62" s="1"/>
  <c r="BP45" i="62"/>
  <c r="Y46" i="62" s="1"/>
  <c r="BT45" i="62"/>
  <c r="AC46" i="62" s="1"/>
  <c r="P44" i="62"/>
  <c r="AF146" i="62"/>
  <c r="AE146" i="62"/>
  <c r="AF148" i="62"/>
  <c r="AE148" i="62"/>
  <c r="AT148" i="62"/>
  <c r="N148" i="62" s="1"/>
  <c r="AF149" i="62"/>
  <c r="AE149" i="62"/>
  <c r="AT149" i="62"/>
  <c r="N149" i="62" s="1"/>
  <c r="P103" i="62"/>
  <c r="P104" i="62" s="1"/>
  <c r="AY54" i="62"/>
  <c r="H54" i="62" s="1"/>
  <c r="AY55" i="62"/>
  <c r="H55" i="62" s="1"/>
  <c r="L55" i="62"/>
  <c r="AY65" i="62"/>
  <c r="H65" i="62" s="1"/>
  <c r="H74" i="62"/>
  <c r="H78" i="62"/>
  <c r="H82" i="62"/>
  <c r="H86" i="62"/>
  <c r="H90" i="62"/>
  <c r="H94" i="62"/>
  <c r="H98" i="62"/>
  <c r="H102" i="62"/>
  <c r="P146" i="62"/>
  <c r="W146" i="62" s="1"/>
  <c r="AF150" i="62"/>
  <c r="AE150" i="62"/>
  <c r="AT150" i="62"/>
  <c r="N150" i="62" s="1"/>
  <c r="AF151" i="62"/>
  <c r="AE151" i="62"/>
  <c r="P157" i="62"/>
  <c r="AE158" i="62"/>
  <c r="AF158" i="62"/>
  <c r="AE163" i="62"/>
  <c r="AF163" i="62"/>
  <c r="M32" i="63"/>
  <c r="L32" i="63"/>
  <c r="M48" i="63"/>
  <c r="L48" i="63"/>
  <c r="AY53" i="62"/>
  <c r="H53" i="62" s="1"/>
  <c r="M57" i="62"/>
  <c r="AY58" i="62"/>
  <c r="H58" i="62" s="1"/>
  <c r="L59" i="62"/>
  <c r="AZ59" i="62"/>
  <c r="H59" i="62" s="1"/>
  <c r="AY70" i="62"/>
  <c r="AY71" i="62"/>
  <c r="L71" i="62"/>
  <c r="H73" i="62"/>
  <c r="L74" i="62"/>
  <c r="L75" i="62"/>
  <c r="H75" i="62"/>
  <c r="H77" i="62"/>
  <c r="L78" i="62"/>
  <c r="L79" i="62"/>
  <c r="H79" i="62"/>
  <c r="H81" i="62"/>
  <c r="L82" i="62"/>
  <c r="L83" i="62"/>
  <c r="H83" i="62"/>
  <c r="H85" i="62"/>
  <c r="L86" i="62"/>
  <c r="L87" i="62"/>
  <c r="H87" i="62"/>
  <c r="H89" i="62"/>
  <c r="L90" i="62"/>
  <c r="L91" i="62"/>
  <c r="H91" i="62"/>
  <c r="H93" i="62"/>
  <c r="L94" i="62"/>
  <c r="L95" i="62"/>
  <c r="H95" i="62"/>
  <c r="H97" i="62"/>
  <c r="L98" i="62"/>
  <c r="L99" i="62"/>
  <c r="H99" i="62"/>
  <c r="H101" i="62"/>
  <c r="L102" i="62"/>
  <c r="AT139" i="62"/>
  <c r="N139" i="62" s="1"/>
  <c r="AT141" i="62"/>
  <c r="N141" i="62" s="1"/>
  <c r="AF141" i="62"/>
  <c r="AT143" i="62"/>
  <c r="N143" i="62" s="1"/>
  <c r="AF143" i="62"/>
  <c r="AT145" i="62"/>
  <c r="N145" i="62" s="1"/>
  <c r="AT147" i="62"/>
  <c r="N147" i="62" s="1"/>
  <c r="AF147" i="62"/>
  <c r="AF152" i="62"/>
  <c r="AE152" i="62"/>
  <c r="AT152" i="62"/>
  <c r="N152" i="62" s="1"/>
  <c r="AF153" i="62"/>
  <c r="AE153" i="62"/>
  <c r="AE159" i="62"/>
  <c r="AF159" i="62"/>
  <c r="L54" i="62"/>
  <c r="AY57" i="62"/>
  <c r="H57" i="62" s="1"/>
  <c r="L65" i="62"/>
  <c r="H69" i="62"/>
  <c r="M78" i="62"/>
  <c r="M82" i="62"/>
  <c r="M86" i="62"/>
  <c r="M90" i="62"/>
  <c r="M94" i="62"/>
  <c r="M98" i="62"/>
  <c r="M102" i="62"/>
  <c r="AT151" i="62"/>
  <c r="N151" i="62" s="1"/>
  <c r="AF154" i="62"/>
  <c r="AE154" i="62"/>
  <c r="AT154" i="62"/>
  <c r="N154" i="62" s="1"/>
  <c r="AE162" i="62"/>
  <c r="M73" i="62"/>
  <c r="M77" i="62"/>
  <c r="M81" i="62"/>
  <c r="M85" i="62"/>
  <c r="M89" i="62"/>
  <c r="M93" i="62"/>
  <c r="M97" i="62"/>
  <c r="M101" i="62"/>
  <c r="BH167" i="62"/>
  <c r="R168" i="62" s="1"/>
  <c r="BL167" i="62"/>
  <c r="V168" i="62" s="1"/>
  <c r="BP167" i="62"/>
  <c r="Z168" i="62" s="1"/>
  <c r="M52" i="62"/>
  <c r="M56" i="62"/>
  <c r="M60" i="62"/>
  <c r="M64" i="62"/>
  <c r="M68" i="62"/>
  <c r="M72" i="62"/>
  <c r="M76" i="62"/>
  <c r="M80" i="62"/>
  <c r="M84" i="62"/>
  <c r="M88" i="62"/>
  <c r="M92" i="62"/>
  <c r="M96" i="62"/>
  <c r="M100" i="62"/>
  <c r="T167" i="62"/>
  <c r="T169" i="62" s="1"/>
  <c r="X167" i="62"/>
  <c r="X169" i="62" s="1"/>
  <c r="AB167" i="62"/>
  <c r="AB169" i="62" s="1"/>
  <c r="BI167" i="62"/>
  <c r="S168" i="62" s="1"/>
  <c r="BM167" i="62"/>
  <c r="W168" i="62" s="1"/>
  <c r="BQ167" i="62"/>
  <c r="AA168" i="62" s="1"/>
  <c r="P159" i="62"/>
  <c r="AE160" i="62"/>
  <c r="AE161" i="62"/>
  <c r="AF161" i="62"/>
  <c r="N161" i="62"/>
  <c r="AE166" i="62"/>
  <c r="AT176" i="62"/>
  <c r="H176" i="62" s="1"/>
  <c r="L176" i="62"/>
  <c r="N160" i="62"/>
  <c r="N164" i="62"/>
  <c r="H186" i="62"/>
  <c r="H189" i="62"/>
  <c r="AR192" i="62"/>
  <c r="L192" i="62"/>
  <c r="L173" i="62"/>
  <c r="AR173" i="62"/>
  <c r="H173" i="62" s="1"/>
  <c r="L184" i="62"/>
  <c r="AR184" i="62"/>
  <c r="Y231" i="62"/>
  <c r="S231" i="62"/>
  <c r="AT177" i="62"/>
  <c r="L179" i="62"/>
  <c r="AT185" i="62"/>
  <c r="H185" i="62" s="1"/>
  <c r="L187" i="62"/>
  <c r="AA231" i="62"/>
  <c r="U231" i="62"/>
  <c r="X16" i="63"/>
  <c r="X18" i="63" s="1"/>
  <c r="BO16" i="63"/>
  <c r="X17" i="63" s="1"/>
  <c r="M28" i="63"/>
  <c r="L28" i="63"/>
  <c r="M44" i="63"/>
  <c r="L44" i="63"/>
  <c r="N163" i="62"/>
  <c r="H180" i="62"/>
  <c r="AR183" i="62"/>
  <c r="H183" i="62" s="1"/>
  <c r="L183" i="62"/>
  <c r="H188" i="62"/>
  <c r="AR191" i="62"/>
  <c r="L191" i="62"/>
  <c r="L194" i="62"/>
  <c r="H194" i="62"/>
  <c r="D315" i="62"/>
  <c r="H315" i="62" s="1"/>
  <c r="Q18" i="63"/>
  <c r="BH16" i="63"/>
  <c r="Q17" i="63" s="1"/>
  <c r="BL16" i="63"/>
  <c r="U17" i="63" s="1"/>
  <c r="BP16" i="63"/>
  <c r="Y17" i="63" s="1"/>
  <c r="BT16" i="63"/>
  <c r="AC17" i="63" s="1"/>
  <c r="H22" i="63"/>
  <c r="N68" i="63"/>
  <c r="M24" i="63"/>
  <c r="L24" i="63"/>
  <c r="M29" i="63"/>
  <c r="L29" i="63"/>
  <c r="M40" i="63"/>
  <c r="L40" i="63"/>
  <c r="N162" i="62"/>
  <c r="N166" i="62"/>
  <c r="L175" i="62"/>
  <c r="L177" i="62"/>
  <c r="H179" i="62"/>
  <c r="H181" i="62"/>
  <c r="L185" i="62"/>
  <c r="H187" i="62"/>
  <c r="F246" i="62"/>
  <c r="H246" i="62" s="1"/>
  <c r="H245" i="62"/>
  <c r="D260" i="62"/>
  <c r="H260" i="62" s="1"/>
  <c r="H280" i="62"/>
  <c r="N13" i="63"/>
  <c r="P13" i="63" s="1"/>
  <c r="Z13" i="63" s="1"/>
  <c r="Z16" i="63" s="1"/>
  <c r="M25" i="63"/>
  <c r="L25" i="63"/>
  <c r="M36" i="63"/>
  <c r="L36" i="63"/>
  <c r="M52" i="63"/>
  <c r="L52" i="63"/>
  <c r="V16" i="63"/>
  <c r="V18" i="63" s="1"/>
  <c r="AE16" i="63"/>
  <c r="BI16" i="63"/>
  <c r="R17" i="63" s="1"/>
  <c r="BM16" i="63"/>
  <c r="V17" i="63" s="1"/>
  <c r="BQ16" i="63"/>
  <c r="Z17" i="63" s="1"/>
  <c r="L33" i="63"/>
  <c r="L37" i="63"/>
  <c r="L41" i="63"/>
  <c r="L45" i="63"/>
  <c r="L49" i="63"/>
  <c r="L53" i="63"/>
  <c r="AS174" i="62"/>
  <c r="H174" i="62" s="1"/>
  <c r="W231" i="62"/>
  <c r="Z231" i="62"/>
  <c r="H291" i="62"/>
  <c r="W16" i="63"/>
  <c r="W18" i="63" s="1"/>
  <c r="AA16" i="63"/>
  <c r="AA18" i="63" s="1"/>
  <c r="N9" i="63"/>
  <c r="P9" i="63" s="1"/>
  <c r="S9" i="63" s="1"/>
  <c r="S16" i="63" s="1"/>
  <c r="K12" i="63"/>
  <c r="AF12" i="63" s="1"/>
  <c r="AF16" i="63" s="1"/>
  <c r="H55" i="63"/>
  <c r="H59" i="63"/>
  <c r="H63" i="63"/>
  <c r="H67" i="63"/>
  <c r="D348" i="62"/>
  <c r="H348" i="62" s="1"/>
  <c r="H350" i="62" s="1"/>
  <c r="H352" i="62" s="1"/>
  <c r="J26" i="1"/>
  <c r="L26" i="1" s="1"/>
  <c r="I25" i="1"/>
  <c r="I27" i="1"/>
  <c r="L19" i="46" l="1"/>
  <c r="J26" i="46"/>
  <c r="L26" i="46" s="1"/>
  <c r="L68" i="63"/>
  <c r="L72" i="63" s="1"/>
  <c r="AE155" i="62"/>
  <c r="AF139" i="62"/>
  <c r="AF167" i="62" s="1"/>
  <c r="U18" i="63"/>
  <c r="M68" i="63"/>
  <c r="AF164" i="62"/>
  <c r="J30" i="1"/>
  <c r="L30" i="1" s="1"/>
  <c r="Z18" i="63"/>
  <c r="AF145" i="62"/>
  <c r="T18" i="63"/>
  <c r="J25" i="1"/>
  <c r="L25" i="1" s="1"/>
  <c r="Q155" i="62"/>
  <c r="W155" i="62"/>
  <c r="Q153" i="62"/>
  <c r="W153" i="62"/>
  <c r="AE157" i="62"/>
  <c r="AE167" i="62" s="1"/>
  <c r="AE165" i="62"/>
  <c r="V47" i="62"/>
  <c r="T47" i="62"/>
  <c r="AD46" i="62"/>
  <c r="AE47" i="62" s="1"/>
  <c r="AF8" i="62"/>
  <c r="AD168" i="62"/>
  <c r="AD170" i="62" s="1"/>
  <c r="S18" i="63"/>
  <c r="AD16" i="63"/>
  <c r="P41" i="62"/>
  <c r="P33" i="62"/>
  <c r="P35" i="62"/>
  <c r="J352" i="62"/>
  <c r="AE169" i="62"/>
  <c r="H68" i="63"/>
  <c r="H70" i="63" s="1"/>
  <c r="H72" i="63" s="1"/>
  <c r="D282" i="62"/>
  <c r="H282" i="62" s="1"/>
  <c r="H284" i="62" s="1"/>
  <c r="H286" i="62" s="1"/>
  <c r="J286" i="62" s="1"/>
  <c r="AD17" i="63"/>
  <c r="H191" i="62"/>
  <c r="L196" i="62"/>
  <c r="H71" i="62"/>
  <c r="P150" i="62"/>
  <c r="P149" i="62"/>
  <c r="P140" i="62"/>
  <c r="P144" i="62"/>
  <c r="P142" i="62"/>
  <c r="I103" i="62"/>
  <c r="H104" i="62" s="1"/>
  <c r="H51" i="62"/>
  <c r="Q47" i="62"/>
  <c r="AF45" i="62"/>
  <c r="P40" i="62"/>
  <c r="S40" i="62" s="1"/>
  <c r="P37" i="62"/>
  <c r="P36" i="62"/>
  <c r="P8" i="62"/>
  <c r="P163" i="62"/>
  <c r="P147" i="62"/>
  <c r="P143" i="62"/>
  <c r="P139" i="62"/>
  <c r="P156" i="62"/>
  <c r="H184" i="62"/>
  <c r="P164" i="62"/>
  <c r="P151" i="62"/>
  <c r="P145" i="62"/>
  <c r="P141" i="62"/>
  <c r="H70" i="62"/>
  <c r="H61" i="62"/>
  <c r="P42" i="62"/>
  <c r="R42" i="62" s="1"/>
  <c r="P34" i="62"/>
  <c r="AB34" i="62" s="1"/>
  <c r="P162" i="62"/>
  <c r="P160" i="62"/>
  <c r="P161" i="62"/>
  <c r="P154" i="62"/>
  <c r="M103" i="62"/>
  <c r="P38" i="62"/>
  <c r="H317" i="62"/>
  <c r="H319" i="62" s="1"/>
  <c r="J319" i="62" s="1"/>
  <c r="P166" i="62"/>
  <c r="H177" i="62"/>
  <c r="H192" i="62"/>
  <c r="P152" i="62"/>
  <c r="P148" i="62"/>
  <c r="H67" i="62"/>
  <c r="N167" i="62"/>
  <c r="L103" i="62"/>
  <c r="L107" i="62" s="1"/>
  <c r="AC47" i="62"/>
  <c r="P39" i="62"/>
  <c r="J27" i="1"/>
  <c r="L27" i="1" s="1"/>
  <c r="H196" i="62" l="1"/>
  <c r="H198" i="62" s="1"/>
  <c r="H200" i="62" s="1"/>
  <c r="AD48" i="62"/>
  <c r="G45" i="1"/>
  <c r="G46" i="1" s="1"/>
  <c r="J50" i="1"/>
  <c r="L50" i="1" s="1"/>
  <c r="J36" i="1"/>
  <c r="L36" i="1" s="1"/>
  <c r="J35" i="1"/>
  <c r="L35" i="1" s="1"/>
  <c r="Q152" i="62"/>
  <c r="W152" i="62"/>
  <c r="Q142" i="62"/>
  <c r="W142" i="62"/>
  <c r="Q148" i="62"/>
  <c r="W148" i="62"/>
  <c r="Q145" i="62"/>
  <c r="W145" i="62"/>
  <c r="Q143" i="62"/>
  <c r="W143" i="62"/>
  <c r="Q149" i="62"/>
  <c r="W149" i="62"/>
  <c r="Q151" i="62"/>
  <c r="W151" i="62"/>
  <c r="Q147" i="62"/>
  <c r="W147" i="62"/>
  <c r="Q144" i="62"/>
  <c r="W144" i="62"/>
  <c r="Q150" i="62"/>
  <c r="W150" i="62"/>
  <c r="Q154" i="62"/>
  <c r="W154" i="62"/>
  <c r="Q156" i="62"/>
  <c r="W156" i="62"/>
  <c r="Q141" i="62"/>
  <c r="W141" i="62"/>
  <c r="Q140" i="62"/>
  <c r="W140" i="62"/>
  <c r="Q139" i="62"/>
  <c r="W139" i="62"/>
  <c r="L200" i="62"/>
  <c r="AB36" i="62"/>
  <c r="S36" i="62"/>
  <c r="AB38" i="62"/>
  <c r="S38" i="62"/>
  <c r="AB33" i="62"/>
  <c r="S33" i="62"/>
  <c r="AB8" i="62"/>
  <c r="Y8" i="62"/>
  <c r="Y45" i="62" s="1"/>
  <c r="Y47" i="62" s="1"/>
  <c r="AB37" i="62"/>
  <c r="S37" i="62"/>
  <c r="AB35" i="62"/>
  <c r="AB45" i="62" s="1"/>
  <c r="AB47" i="62" s="1"/>
  <c r="Z35" i="62"/>
  <c r="Z45" i="62" s="1"/>
  <c r="Z47" i="62" s="1"/>
  <c r="R39" i="62"/>
  <c r="S39" i="62"/>
  <c r="AD19" i="63"/>
  <c r="AE18" i="63"/>
  <c r="R45" i="62"/>
  <c r="H103" i="62"/>
  <c r="H105" i="62" s="1"/>
  <c r="H107" i="62" s="1"/>
  <c r="AD18" i="63"/>
  <c r="O45" i="62"/>
  <c r="H354" i="62"/>
  <c r="G47" i="1" l="1"/>
  <c r="J47" i="1" s="1"/>
  <c r="L47" i="1" s="1"/>
  <c r="J46" i="1"/>
  <c r="L46" i="1" s="1"/>
  <c r="Q167" i="62"/>
  <c r="Q169" i="62" s="1"/>
  <c r="J37" i="1"/>
  <c r="L37" i="1" s="1"/>
  <c r="W167" i="62"/>
  <c r="W169" i="62" s="1"/>
  <c r="S45" i="62"/>
  <c r="S47" i="62" s="1"/>
  <c r="R47" i="62"/>
  <c r="H248" i="62"/>
  <c r="H250" i="62" s="1"/>
  <c r="AD167" i="62" l="1"/>
  <c r="N168" i="62" s="1"/>
  <c r="AD45" i="62"/>
  <c r="AD47" i="62" s="1"/>
  <c r="AD169" i="62"/>
  <c r="O46" i="62" l="1"/>
  <c r="C9" i="58"/>
  <c r="B9" i="58"/>
  <c r="A9" i="58"/>
  <c r="P6" i="45"/>
  <c r="N12" i="14"/>
  <c r="N12" i="45" s="1"/>
  <c r="M12" i="14"/>
  <c r="M12" i="45" s="1"/>
  <c r="L12" i="45"/>
  <c r="N9" i="14"/>
  <c r="N8" i="14" s="1"/>
  <c r="N8" i="45" s="1"/>
  <c r="L9" i="14"/>
  <c r="L8" i="14" s="1"/>
  <c r="L8" i="45" s="1"/>
  <c r="N13" i="14"/>
  <c r="M13" i="14"/>
  <c r="M8" i="56" s="1"/>
  <c r="N10" i="14"/>
  <c r="N10" i="45" s="1"/>
  <c r="L11" i="45"/>
  <c r="M11" i="45"/>
  <c r="N11" i="45"/>
  <c r="O11" i="45"/>
  <c r="S55" i="55"/>
  <c r="S41" i="14" s="1"/>
  <c r="R55" i="55"/>
  <c r="R41" i="14" s="1"/>
  <c r="Q55" i="55"/>
  <c r="Q41" i="14" s="1"/>
  <c r="P55" i="55"/>
  <c r="P41" i="14" s="1"/>
  <c r="P8" i="55"/>
  <c r="O7" i="55"/>
  <c r="N7" i="55"/>
  <c r="M7" i="55"/>
  <c r="L7" i="55"/>
  <c r="S6" i="55"/>
  <c r="R6" i="55"/>
  <c r="Q6" i="55"/>
  <c r="N6" i="55"/>
  <c r="L6" i="55"/>
  <c r="L5" i="55"/>
  <c r="S59" i="34"/>
  <c r="S39" i="14" s="1"/>
  <c r="R59" i="34"/>
  <c r="R39" i="14" s="1"/>
  <c r="Q59" i="34"/>
  <c r="Q39" i="14" s="1"/>
  <c r="P59" i="34"/>
  <c r="P39" i="14" s="1"/>
  <c r="N59" i="34"/>
  <c r="N39" i="14" s="1"/>
  <c r="L59" i="34"/>
  <c r="L39" i="14" s="1"/>
  <c r="P8" i="34"/>
  <c r="O7" i="34"/>
  <c r="N7" i="34"/>
  <c r="M7" i="34"/>
  <c r="L7" i="34"/>
  <c r="S6" i="34"/>
  <c r="R6" i="34"/>
  <c r="Q6" i="34"/>
  <c r="N6" i="34"/>
  <c r="L6" i="34"/>
  <c r="L5" i="34"/>
  <c r="S77" i="41"/>
  <c r="S37" i="14" s="1"/>
  <c r="R77" i="41"/>
  <c r="R37" i="14" s="1"/>
  <c r="Q77" i="41"/>
  <c r="Q37" i="14" s="1"/>
  <c r="P77" i="41"/>
  <c r="P37" i="14" s="1"/>
  <c r="O92" i="41"/>
  <c r="O37" i="14" s="1"/>
  <c r="N92" i="41"/>
  <c r="N37" i="14" s="1"/>
  <c r="P8" i="41"/>
  <c r="O7" i="41"/>
  <c r="N7" i="41"/>
  <c r="M7" i="41"/>
  <c r="L7" i="41"/>
  <c r="S6" i="41"/>
  <c r="R6" i="41"/>
  <c r="Q6" i="41"/>
  <c r="N6" i="41"/>
  <c r="L6" i="41"/>
  <c r="L5" i="41"/>
  <c r="S84" i="9"/>
  <c r="S35" i="14" s="1"/>
  <c r="R84" i="9"/>
  <c r="R35" i="14" s="1"/>
  <c r="Q84" i="9"/>
  <c r="Q35" i="14" s="1"/>
  <c r="P84" i="9"/>
  <c r="P35" i="14" s="1"/>
  <c r="P8" i="9"/>
  <c r="O7" i="9"/>
  <c r="N7" i="9"/>
  <c r="M7" i="9"/>
  <c r="L7" i="9"/>
  <c r="S6" i="9"/>
  <c r="R6" i="9"/>
  <c r="Q6" i="9"/>
  <c r="N6" i="9"/>
  <c r="L6" i="9"/>
  <c r="L5" i="9"/>
  <c r="S33" i="14"/>
  <c r="R33" i="14"/>
  <c r="Q33" i="14"/>
  <c r="P33" i="14"/>
  <c r="O33" i="14"/>
  <c r="S37" i="10"/>
  <c r="S31" i="14" s="1"/>
  <c r="R37" i="10"/>
  <c r="R31" i="14" s="1"/>
  <c r="Q37" i="10"/>
  <c r="Q31" i="14" s="1"/>
  <c r="P37" i="10"/>
  <c r="P31" i="14" s="1"/>
  <c r="O37" i="10"/>
  <c r="O31" i="14" s="1"/>
  <c r="N37" i="10"/>
  <c r="N31" i="14" s="1"/>
  <c r="P8" i="10"/>
  <c r="O7" i="10"/>
  <c r="N7" i="10"/>
  <c r="M7" i="10"/>
  <c r="L7" i="10"/>
  <c r="S6" i="10"/>
  <c r="R6" i="10"/>
  <c r="Q6" i="10"/>
  <c r="N6" i="10"/>
  <c r="L6" i="10"/>
  <c r="L5" i="10"/>
  <c r="S33" i="8"/>
  <c r="S29" i="14" s="1"/>
  <c r="R33" i="8"/>
  <c r="R29" i="14" s="1"/>
  <c r="Q33" i="8"/>
  <c r="Q29" i="14" s="1"/>
  <c r="P33" i="8"/>
  <c r="P29" i="14" s="1"/>
  <c r="N33" i="8"/>
  <c r="N29" i="14" s="1"/>
  <c r="M33" i="8"/>
  <c r="M29" i="14" s="1"/>
  <c r="P8" i="8"/>
  <c r="O7" i="8"/>
  <c r="N7" i="8"/>
  <c r="M7" i="8"/>
  <c r="L7" i="8"/>
  <c r="S6" i="8"/>
  <c r="R6" i="8"/>
  <c r="Q6" i="8"/>
  <c r="N6" i="8"/>
  <c r="L6" i="8"/>
  <c r="L5" i="8"/>
  <c r="S54" i="1"/>
  <c r="S27" i="14" s="1"/>
  <c r="R54" i="1"/>
  <c r="R27" i="14" s="1"/>
  <c r="Q54" i="1"/>
  <c r="Q27" i="14" s="1"/>
  <c r="P54" i="1"/>
  <c r="P27" i="14" s="1"/>
  <c r="P8" i="1"/>
  <c r="O7" i="1"/>
  <c r="N7" i="1"/>
  <c r="M7" i="1"/>
  <c r="L7" i="1"/>
  <c r="S6" i="1"/>
  <c r="R6" i="1"/>
  <c r="Q6" i="1"/>
  <c r="N6" i="1"/>
  <c r="L6" i="1"/>
  <c r="L5" i="1"/>
  <c r="S63" i="17"/>
  <c r="S25" i="14" s="1"/>
  <c r="R63" i="17"/>
  <c r="R25" i="14" s="1"/>
  <c r="Q63" i="17"/>
  <c r="Q25" i="14" s="1"/>
  <c r="P63" i="17"/>
  <c r="P25" i="14" s="1"/>
  <c r="P8" i="17"/>
  <c r="O7" i="17"/>
  <c r="N7" i="17"/>
  <c r="M7" i="17"/>
  <c r="L7" i="17"/>
  <c r="S6" i="17"/>
  <c r="R6" i="17"/>
  <c r="Q6" i="17"/>
  <c r="N6" i="17"/>
  <c r="L6" i="17"/>
  <c r="L5" i="17"/>
  <c r="S66" i="27"/>
  <c r="S23" i="14" s="1"/>
  <c r="R66" i="27"/>
  <c r="R23" i="14" s="1"/>
  <c r="Q66" i="27"/>
  <c r="Q23" i="14" s="1"/>
  <c r="P66" i="27"/>
  <c r="P23" i="14" s="1"/>
  <c r="O66" i="27"/>
  <c r="O23" i="14" s="1"/>
  <c r="N66" i="27"/>
  <c r="N23" i="14" s="1"/>
  <c r="P8" i="27"/>
  <c r="O7" i="27"/>
  <c r="N7" i="27"/>
  <c r="M7" i="27"/>
  <c r="L7" i="27"/>
  <c r="S6" i="27"/>
  <c r="R6" i="27"/>
  <c r="Q6" i="27"/>
  <c r="N6" i="27"/>
  <c r="L6" i="27"/>
  <c r="L5" i="27"/>
  <c r="S32" i="46"/>
  <c r="S21" i="14" s="1"/>
  <c r="R32" i="46"/>
  <c r="R21" i="14" s="1"/>
  <c r="Q32" i="46"/>
  <c r="Q21" i="14" s="1"/>
  <c r="P32" i="46"/>
  <c r="P21" i="14" s="1"/>
  <c r="O32" i="46"/>
  <c r="O21" i="14" s="1"/>
  <c r="N32" i="46"/>
  <c r="N21" i="14" s="1"/>
  <c r="M32" i="46"/>
  <c r="M21" i="14" s="1"/>
  <c r="L32" i="46"/>
  <c r="L21" i="14" s="1"/>
  <c r="P8" i="46"/>
  <c r="O7" i="46"/>
  <c r="N7" i="46"/>
  <c r="M7" i="46"/>
  <c r="L7" i="46"/>
  <c r="S6" i="46"/>
  <c r="R6" i="46"/>
  <c r="Q6" i="46"/>
  <c r="N6" i="46"/>
  <c r="L6" i="46"/>
  <c r="L5" i="46"/>
  <c r="S52" i="44"/>
  <c r="R52" i="44"/>
  <c r="Q52" i="44"/>
  <c r="P52" i="44"/>
  <c r="O52" i="44"/>
  <c r="N52" i="44"/>
  <c r="M52" i="44"/>
  <c r="P10" i="44"/>
  <c r="O9" i="44"/>
  <c r="N9" i="44"/>
  <c r="M9" i="44"/>
  <c r="L9" i="44"/>
  <c r="S8" i="44"/>
  <c r="R8" i="44"/>
  <c r="Q8" i="44"/>
  <c r="N8" i="44"/>
  <c r="L8" i="44"/>
  <c r="L7" i="44"/>
  <c r="B44" i="58" l="1"/>
  <c r="B36" i="58"/>
  <c r="B46" i="58"/>
  <c r="B38" i="58"/>
  <c r="B47" i="58"/>
  <c r="B45" i="58"/>
  <c r="B37" i="58"/>
  <c r="B50" i="58"/>
  <c r="B40" i="58"/>
  <c r="B42" i="58"/>
  <c r="B39" i="58"/>
  <c r="B43" i="58"/>
  <c r="B48" i="58"/>
  <c r="B49" i="58"/>
  <c r="B41" i="58"/>
  <c r="C42" i="58"/>
  <c r="C45" i="58"/>
  <c r="C37" i="58"/>
  <c r="C38" i="58"/>
  <c r="C47" i="58"/>
  <c r="C39" i="58"/>
  <c r="C46" i="58"/>
  <c r="C41" i="58"/>
  <c r="C40" i="58"/>
  <c r="C43" i="58"/>
  <c r="C36" i="58"/>
  <c r="C48" i="58"/>
  <c r="C50" i="58"/>
  <c r="C44" i="58"/>
  <c r="C49" i="58"/>
  <c r="A45" i="58"/>
  <c r="D45" i="58" s="1"/>
  <c r="A37" i="58"/>
  <c r="D37" i="58" s="1"/>
  <c r="A44" i="58"/>
  <c r="A36" i="58"/>
  <c r="A50" i="58"/>
  <c r="A46" i="58"/>
  <c r="A38" i="58"/>
  <c r="D38" i="58" s="1"/>
  <c r="A39" i="58"/>
  <c r="A49" i="58"/>
  <c r="A41" i="58"/>
  <c r="A42" i="58"/>
  <c r="A47" i="58"/>
  <c r="D47" i="58" s="1"/>
  <c r="A48" i="58"/>
  <c r="A40" i="58"/>
  <c r="A43" i="58"/>
  <c r="B18" i="58"/>
  <c r="B19" i="58"/>
  <c r="B21" i="58"/>
  <c r="B11" i="58"/>
  <c r="B20" i="58"/>
  <c r="B12" i="58"/>
  <c r="B15" i="58"/>
  <c r="B24" i="58"/>
  <c r="B13" i="58"/>
  <c r="B23" i="58"/>
  <c r="B17" i="58"/>
  <c r="B22" i="58"/>
  <c r="B14" i="58"/>
  <c r="B16" i="58"/>
  <c r="B25" i="58"/>
  <c r="C20" i="58"/>
  <c r="C23" i="58"/>
  <c r="C19" i="58"/>
  <c r="C11" i="58"/>
  <c r="C12" i="58"/>
  <c r="C21" i="58"/>
  <c r="C13" i="58"/>
  <c r="C15" i="58"/>
  <c r="C16" i="58"/>
  <c r="C17" i="58"/>
  <c r="C25" i="58"/>
  <c r="C14" i="58"/>
  <c r="C24" i="58"/>
  <c r="C18" i="58"/>
  <c r="C22" i="58"/>
  <c r="N8" i="34"/>
  <c r="N8" i="56"/>
  <c r="A18" i="58"/>
  <c r="A21" i="58"/>
  <c r="A13" i="58"/>
  <c r="A23" i="58"/>
  <c r="A17" i="58"/>
  <c r="A19" i="58"/>
  <c r="A11" i="58"/>
  <c r="A20" i="58"/>
  <c r="A12" i="58"/>
  <c r="A25" i="58"/>
  <c r="A16" i="58"/>
  <c r="A22" i="58"/>
  <c r="A14" i="58"/>
  <c r="A15" i="58"/>
  <c r="A24" i="58"/>
  <c r="A75" i="58"/>
  <c r="A79" i="58"/>
  <c r="B75" i="58"/>
  <c r="B79" i="58"/>
  <c r="C75" i="58"/>
  <c r="C79" i="58"/>
  <c r="R52" i="14"/>
  <c r="Q50" i="14"/>
  <c r="Q52" i="14"/>
  <c r="S52" i="14"/>
  <c r="S50" i="14"/>
  <c r="P52" i="14"/>
  <c r="P50" i="14"/>
  <c r="R50" i="14"/>
  <c r="M8" i="9"/>
  <c r="M8" i="55"/>
  <c r="M8" i="46"/>
  <c r="C61" i="58"/>
  <c r="C82" i="58"/>
  <c r="B81" i="58"/>
  <c r="A80" i="58"/>
  <c r="C77" i="58"/>
  <c r="B76" i="58"/>
  <c r="A74" i="58"/>
  <c r="C72" i="58"/>
  <c r="B71" i="58"/>
  <c r="A70" i="58"/>
  <c r="C68" i="58"/>
  <c r="B67" i="58"/>
  <c r="A66" i="58"/>
  <c r="C64" i="58"/>
  <c r="B63" i="58"/>
  <c r="A62" i="58"/>
  <c r="A87" i="58"/>
  <c r="B88" i="58"/>
  <c r="C83" i="58"/>
  <c r="B82" i="58"/>
  <c r="A81" i="58"/>
  <c r="C78" i="58"/>
  <c r="B77" i="58"/>
  <c r="A76" i="58"/>
  <c r="C73" i="58"/>
  <c r="B72" i="58"/>
  <c r="A71" i="58"/>
  <c r="C69" i="58"/>
  <c r="B68" i="58"/>
  <c r="A67" i="58"/>
  <c r="C65" i="58"/>
  <c r="B64" i="58"/>
  <c r="A63" i="58"/>
  <c r="B87" i="58"/>
  <c r="C88" i="58"/>
  <c r="A61" i="58"/>
  <c r="B83" i="58"/>
  <c r="A82" i="58"/>
  <c r="C80" i="58"/>
  <c r="B78" i="58"/>
  <c r="A77" i="58"/>
  <c r="C74" i="58"/>
  <c r="B73" i="58"/>
  <c r="A72" i="58"/>
  <c r="C70" i="58"/>
  <c r="B69" i="58"/>
  <c r="A68" i="58"/>
  <c r="C66" i="58"/>
  <c r="B65" i="58"/>
  <c r="A64" i="58"/>
  <c r="C62" i="58"/>
  <c r="C87" i="58"/>
  <c r="L10" i="14"/>
  <c r="L10" i="45" s="1"/>
  <c r="B61" i="58"/>
  <c r="A83" i="58"/>
  <c r="C81" i="58"/>
  <c r="B80" i="58"/>
  <c r="A78" i="58"/>
  <c r="C76" i="58"/>
  <c r="B74" i="58"/>
  <c r="A73" i="58"/>
  <c r="C71" i="58"/>
  <c r="B70" i="58"/>
  <c r="A69" i="58"/>
  <c r="C67" i="58"/>
  <c r="B66" i="58"/>
  <c r="A65" i="58"/>
  <c r="C63" i="58"/>
  <c r="B62" i="58"/>
  <c r="A88" i="58"/>
  <c r="M8" i="17"/>
  <c r="M8" i="10"/>
  <c r="M8" i="34"/>
  <c r="N8" i="55"/>
  <c r="M10" i="44"/>
  <c r="N10" i="44"/>
  <c r="M8" i="27"/>
  <c r="N8" i="17"/>
  <c r="M8" i="8"/>
  <c r="M8" i="41"/>
  <c r="N8" i="46"/>
  <c r="N8" i="27"/>
  <c r="M8" i="1"/>
  <c r="N8" i="8"/>
  <c r="N8" i="41"/>
  <c r="J43" i="17"/>
  <c r="N9" i="45"/>
  <c r="N8" i="1"/>
  <c r="N8" i="10"/>
  <c r="N8" i="9"/>
  <c r="L9" i="45"/>
  <c r="D43" i="58" l="1"/>
  <c r="D40" i="58"/>
  <c r="D48" i="58"/>
  <c r="D42" i="58"/>
  <c r="D49" i="58"/>
  <c r="D39" i="58"/>
  <c r="D46" i="58"/>
  <c r="D41" i="58"/>
  <c r="D50" i="58"/>
  <c r="D36" i="58"/>
  <c r="D44" i="58"/>
  <c r="D22" i="58"/>
  <c r="D16" i="58"/>
  <c r="D25" i="58"/>
  <c r="D20" i="58"/>
  <c r="D18" i="58"/>
  <c r="D12" i="58"/>
  <c r="D11" i="58"/>
  <c r="D19" i="58"/>
  <c r="D17" i="58"/>
  <c r="D24" i="58"/>
  <c r="D23" i="58"/>
  <c r="D15" i="58"/>
  <c r="D13" i="58"/>
  <c r="D14" i="58"/>
  <c r="D21" i="58"/>
  <c r="D64" i="58"/>
  <c r="D74" i="58"/>
  <c r="R55" i="14"/>
  <c r="D79" i="58"/>
  <c r="D75" i="58"/>
  <c r="D82" i="58"/>
  <c r="D63" i="58"/>
  <c r="P55" i="14"/>
  <c r="Q55" i="14"/>
  <c r="S55" i="14"/>
  <c r="D68" i="58"/>
  <c r="D69" i="58"/>
  <c r="D88" i="58"/>
  <c r="D78" i="58"/>
  <c r="D80" i="58"/>
  <c r="D83" i="58"/>
  <c r="D87" i="58"/>
  <c r="D67" i="58"/>
  <c r="D72" i="58"/>
  <c r="D71" i="58"/>
  <c r="D65" i="58"/>
  <c r="D77" i="58"/>
  <c r="D81" i="58"/>
  <c r="D76" i="58"/>
  <c r="D70" i="58"/>
  <c r="O9" i="14"/>
  <c r="O9" i="45" s="1"/>
  <c r="M54" i="1"/>
  <c r="M27" i="14" s="1"/>
  <c r="L54" i="1"/>
  <c r="L27" i="14" s="1"/>
  <c r="D66" i="58"/>
  <c r="D62" i="58"/>
  <c r="D73" i="58"/>
  <c r="J37" i="17"/>
  <c r="D61" i="58"/>
  <c r="L13" i="14"/>
  <c r="L8" i="56" s="1"/>
  <c r="C55" i="17"/>
  <c r="N54" i="1" l="1"/>
  <c r="N27" i="14" s="1"/>
  <c r="O54" i="1"/>
  <c r="O27" i="14" s="1"/>
  <c r="O10" i="14"/>
  <c r="O10" i="45" s="1"/>
  <c r="O59" i="34"/>
  <c r="O39" i="14" s="1"/>
  <c r="O9" i="55"/>
  <c r="O8" i="14"/>
  <c r="O8" i="45" s="1"/>
  <c r="L8" i="55"/>
  <c r="L8" i="17"/>
  <c r="L10" i="44"/>
  <c r="L8" i="10"/>
  <c r="L8" i="46"/>
  <c r="L8" i="9"/>
  <c r="L8" i="8"/>
  <c r="L8" i="27"/>
  <c r="L8" i="34"/>
  <c r="L8" i="41"/>
  <c r="L8" i="1"/>
  <c r="M9" i="14"/>
  <c r="M9" i="45" s="1"/>
  <c r="M13" i="45"/>
  <c r="N13" i="45"/>
  <c r="L13" i="45"/>
  <c r="M7" i="45"/>
  <c r="N7" i="45"/>
  <c r="O7" i="45"/>
  <c r="L7" i="45"/>
  <c r="R6" i="45"/>
  <c r="S6" i="45"/>
  <c r="Q6" i="45"/>
  <c r="N6" i="45"/>
  <c r="L6" i="45"/>
  <c r="L5" i="45"/>
  <c r="S44" i="45"/>
  <c r="R44" i="45"/>
  <c r="Q44" i="45"/>
  <c r="P44" i="45"/>
  <c r="O44" i="45"/>
  <c r="N44" i="45"/>
  <c r="M44" i="45"/>
  <c r="L20" i="27" l="1"/>
  <c r="M20" i="27" s="1"/>
  <c r="L29" i="27"/>
  <c r="M29" i="27" s="1"/>
  <c r="L37" i="27"/>
  <c r="M37" i="27" s="1"/>
  <c r="L45" i="27"/>
  <c r="M45" i="27" s="1"/>
  <c r="L53" i="27"/>
  <c r="M53" i="27" s="1"/>
  <c r="L62" i="27"/>
  <c r="M62" i="27" s="1"/>
  <c r="L21" i="27"/>
  <c r="M21" i="27" s="1"/>
  <c r="L54" i="27"/>
  <c r="M54" i="27" s="1"/>
  <c r="L23" i="27"/>
  <c r="M23" i="27" s="1"/>
  <c r="L32" i="27"/>
  <c r="M32" i="27" s="1"/>
  <c r="L40" i="27"/>
  <c r="M40" i="27" s="1"/>
  <c r="L48" i="27"/>
  <c r="M48" i="27" s="1"/>
  <c r="L57" i="27"/>
  <c r="M57" i="27" s="1"/>
  <c r="L39" i="27"/>
  <c r="M39" i="27" s="1"/>
  <c r="L22" i="27"/>
  <c r="M22" i="27" s="1"/>
  <c r="L30" i="27"/>
  <c r="M30" i="27" s="1"/>
  <c r="L38" i="27"/>
  <c r="M38" i="27" s="1"/>
  <c r="L46" i="27"/>
  <c r="M46" i="27" s="1"/>
  <c r="L55" i="27"/>
  <c r="M55" i="27" s="1"/>
  <c r="L14" i="27"/>
  <c r="L47" i="27"/>
  <c r="M47" i="27" s="1"/>
  <c r="L16" i="27"/>
  <c r="M16" i="27" s="1"/>
  <c r="L25" i="27"/>
  <c r="M25" i="27" s="1"/>
  <c r="L33" i="27"/>
  <c r="M33" i="27" s="1"/>
  <c r="L49" i="27"/>
  <c r="M49" i="27" s="1"/>
  <c r="L58" i="27"/>
  <c r="M58" i="27" s="1"/>
  <c r="L31" i="27"/>
  <c r="M31" i="27" s="1"/>
  <c r="L35" i="27"/>
  <c r="M35" i="27" s="1"/>
  <c r="L51" i="27"/>
  <c r="M51" i="27" s="1"/>
  <c r="L56" i="27"/>
  <c r="M56" i="27" s="1"/>
  <c r="L24" i="27"/>
  <c r="M24" i="27" s="1"/>
  <c r="L41" i="27"/>
  <c r="M41" i="27" s="1"/>
  <c r="L15" i="27"/>
  <c r="M15" i="27" s="1"/>
  <c r="L17" i="27"/>
  <c r="M17" i="27" s="1"/>
  <c r="L26" i="27"/>
  <c r="M26" i="27" s="1"/>
  <c r="L34" i="27"/>
  <c r="M34" i="27" s="1"/>
  <c r="L42" i="27"/>
  <c r="M42" i="27" s="1"/>
  <c r="L50" i="27"/>
  <c r="M50" i="27" s="1"/>
  <c r="L59" i="27"/>
  <c r="M59" i="27" s="1"/>
  <c r="L27" i="27"/>
  <c r="M27" i="27" s="1"/>
  <c r="L18" i="27"/>
  <c r="M18" i="27" s="1"/>
  <c r="L43" i="27"/>
  <c r="M43" i="27" s="1"/>
  <c r="L19" i="27"/>
  <c r="M19" i="27" s="1"/>
  <c r="L28" i="27"/>
  <c r="M28" i="27" s="1"/>
  <c r="L36" i="27"/>
  <c r="M36" i="27" s="1"/>
  <c r="L44" i="27"/>
  <c r="M44" i="27" s="1"/>
  <c r="L52" i="27"/>
  <c r="M52" i="27" s="1"/>
  <c r="L61" i="27"/>
  <c r="M61" i="27" s="1"/>
  <c r="L60" i="27"/>
  <c r="M60" i="27" s="1"/>
  <c r="L21" i="17"/>
  <c r="M21" i="17" s="1"/>
  <c r="L22" i="17"/>
  <c r="M22" i="17" s="1"/>
  <c r="L32" i="17"/>
  <c r="M32" i="17" s="1"/>
  <c r="L41" i="17"/>
  <c r="M41" i="17" s="1"/>
  <c r="L13" i="17"/>
  <c r="M13" i="17" s="1"/>
  <c r="L23" i="17"/>
  <c r="M23" i="17" s="1"/>
  <c r="L12" i="17"/>
  <c r="M12" i="17" s="1"/>
  <c r="L33" i="17"/>
  <c r="M33" i="17" s="1"/>
  <c r="L24" i="17"/>
  <c r="M24" i="17" s="1"/>
  <c r="L14" i="17"/>
  <c r="M14" i="17" s="1"/>
  <c r="L15" i="17"/>
  <c r="M15" i="17" s="1"/>
  <c r="L43" i="17"/>
  <c r="M43" i="17" s="1"/>
  <c r="L25" i="17"/>
  <c r="M25" i="17" s="1"/>
  <c r="L36" i="17"/>
  <c r="M36" i="17" s="1"/>
  <c r="L46" i="17"/>
  <c r="M46" i="17" s="1"/>
  <c r="L34" i="17"/>
  <c r="M34" i="17" s="1"/>
  <c r="L16" i="17"/>
  <c r="M16" i="17" s="1"/>
  <c r="L28" i="17"/>
  <c r="M28" i="17" s="1"/>
  <c r="L26" i="17"/>
  <c r="M26" i="17" s="1"/>
  <c r="L27" i="17"/>
  <c r="M27" i="17" s="1"/>
  <c r="L35" i="17"/>
  <c r="M35" i="17" s="1"/>
  <c r="L44" i="17"/>
  <c r="M44" i="17" s="1"/>
  <c r="L17" i="17"/>
  <c r="M17" i="17" s="1"/>
  <c r="L18" i="17"/>
  <c r="M18" i="17" s="1"/>
  <c r="L37" i="17"/>
  <c r="M37" i="17" s="1"/>
  <c r="L47" i="17"/>
  <c r="M47" i="17" s="1"/>
  <c r="L19" i="17"/>
  <c r="M19" i="17" s="1"/>
  <c r="L38" i="17"/>
  <c r="M38" i="17" s="1"/>
  <c r="L29" i="17"/>
  <c r="M29" i="17" s="1"/>
  <c r="L39" i="17"/>
  <c r="M39" i="17" s="1"/>
  <c r="L48" i="17"/>
  <c r="M48" i="17" s="1"/>
  <c r="L20" i="17"/>
  <c r="M20" i="17" s="1"/>
  <c r="L30" i="17"/>
  <c r="M30" i="17" s="1"/>
  <c r="L31" i="17"/>
  <c r="M31" i="17" s="1"/>
  <c r="L40" i="17"/>
  <c r="M40" i="17" s="1"/>
  <c r="J54" i="1"/>
  <c r="J27" i="14" s="1"/>
  <c r="O21" i="8"/>
  <c r="C59" i="17"/>
  <c r="E59" i="17" s="1"/>
  <c r="O19" i="8"/>
  <c r="O12" i="14"/>
  <c r="O12" i="45" s="1"/>
  <c r="M8" i="14"/>
  <c r="M8" i="45" s="1"/>
  <c r="M21" i="55"/>
  <c r="M59" i="34"/>
  <c r="M39" i="14" s="1"/>
  <c r="M9" i="55"/>
  <c r="M10" i="14"/>
  <c r="M10" i="45" s="1"/>
  <c r="G47" i="41"/>
  <c r="G54" i="41"/>
  <c r="J54" i="41" s="1"/>
  <c r="L54" i="41" s="1"/>
  <c r="G61" i="41"/>
  <c r="G60" i="41"/>
  <c r="G59" i="41"/>
  <c r="G58" i="41"/>
  <c r="J58" i="41" s="1"/>
  <c r="L58" i="41" s="1"/>
  <c r="G57" i="41"/>
  <c r="I60" i="41"/>
  <c r="I57" i="41"/>
  <c r="M14" i="27" l="1"/>
  <c r="M66" i="27" s="1"/>
  <c r="M23" i="14" s="1"/>
  <c r="L66" i="27"/>
  <c r="N112" i="58"/>
  <c r="G49" i="17" s="1"/>
  <c r="J49" i="17" s="1"/>
  <c r="G77" i="9"/>
  <c r="J77" i="9" s="1"/>
  <c r="L77" i="9" s="1"/>
  <c r="O33" i="8"/>
  <c r="O29" i="14" s="1"/>
  <c r="G53" i="9"/>
  <c r="J53" i="9" s="1"/>
  <c r="L53" i="9" s="1"/>
  <c r="G58" i="9"/>
  <c r="J79" i="9"/>
  <c r="L79" i="9" s="1"/>
  <c r="O13" i="14"/>
  <c r="O8" i="56" s="1"/>
  <c r="G21" i="8"/>
  <c r="J21" i="8" s="1"/>
  <c r="L21" i="8" s="1"/>
  <c r="J19" i="8"/>
  <c r="L19" i="8" s="1"/>
  <c r="N63" i="17"/>
  <c r="N25" i="14" s="1"/>
  <c r="J45" i="17"/>
  <c r="L45" i="17" s="1"/>
  <c r="M45" i="17" s="1"/>
  <c r="J60" i="41"/>
  <c r="L60" i="41" s="1"/>
  <c r="J57" i="41"/>
  <c r="L57" i="41" s="1"/>
  <c r="G55" i="41"/>
  <c r="J55" i="41" s="1"/>
  <c r="L55" i="41" s="1"/>
  <c r="J59" i="41"/>
  <c r="L59" i="41" s="1"/>
  <c r="J61" i="41"/>
  <c r="L61" i="41" s="1"/>
  <c r="L49" i="17" l="1"/>
  <c r="M49" i="17" s="1"/>
  <c r="L23" i="14"/>
  <c r="U66" i="27"/>
  <c r="L33" i="8"/>
  <c r="L29" i="14" s="1"/>
  <c r="O13" i="45"/>
  <c r="O10" i="44"/>
  <c r="O8" i="46"/>
  <c r="O8" i="10"/>
  <c r="O8" i="1"/>
  <c r="O8" i="55"/>
  <c r="O8" i="27"/>
  <c r="O8" i="8"/>
  <c r="O8" i="34"/>
  <c r="O8" i="9"/>
  <c r="O8" i="41"/>
  <c r="O8" i="17"/>
  <c r="J24" i="55"/>
  <c r="J21" i="55"/>
  <c r="J26" i="55"/>
  <c r="G56" i="41"/>
  <c r="M24" i="55" l="1"/>
  <c r="L24" i="55"/>
  <c r="L26" i="55"/>
  <c r="M26" i="55"/>
  <c r="J56" i="41"/>
  <c r="L56" i="41" s="1"/>
  <c r="M55" i="55" l="1"/>
  <c r="M41" i="14" s="1"/>
  <c r="O63" i="17"/>
  <c r="O25" i="14" s="1"/>
  <c r="O55" i="55"/>
  <c r="O41" i="14" s="1"/>
  <c r="Y539" i="9"/>
  <c r="J41" i="9" s="1"/>
  <c r="L41" i="9" s="1"/>
  <c r="Z539" i="9"/>
  <c r="J50" i="9" s="1"/>
  <c r="L50" i="9" s="1"/>
  <c r="AA539" i="9"/>
  <c r="X539" i="9"/>
  <c r="J47" i="9"/>
  <c r="L47" i="9" s="1"/>
  <c r="J46" i="9"/>
  <c r="L46" i="9" s="1"/>
  <c r="J43" i="9"/>
  <c r="L43" i="9" s="1"/>
  <c r="J38" i="9"/>
  <c r="L38" i="9" s="1"/>
  <c r="J39" i="9" l="1"/>
  <c r="L39" i="9" s="1"/>
  <c r="J42" i="9"/>
  <c r="L42" i="9" s="1"/>
  <c r="J40" i="9"/>
  <c r="L40" i="9" s="1"/>
  <c r="B33" i="14"/>
  <c r="J20" i="10" l="1"/>
  <c r="L20" i="10" s="1"/>
  <c r="J16" i="10"/>
  <c r="L16" i="10" s="1"/>
  <c r="J17" i="10"/>
  <c r="L17" i="10" s="1"/>
  <c r="J18" i="10"/>
  <c r="L18" i="10" s="1"/>
  <c r="J19" i="10"/>
  <c r="L19" i="10" s="1"/>
  <c r="J21" i="10"/>
  <c r="L21" i="10" s="1"/>
  <c r="J15" i="10"/>
  <c r="L15" i="10" s="1"/>
  <c r="J37" i="10" l="1"/>
  <c r="I19" i="9"/>
  <c r="I26" i="9"/>
  <c r="J31" i="9"/>
  <c r="L31" i="9" s="1"/>
  <c r="L37" i="10" l="1"/>
  <c r="L31" i="14" s="1"/>
  <c r="M37" i="10"/>
  <c r="M31" i="14" s="1"/>
  <c r="J60" i="9"/>
  <c r="L60" i="9" s="1"/>
  <c r="J59" i="9"/>
  <c r="L59" i="9" s="1"/>
  <c r="J29" i="9"/>
  <c r="L29" i="9" s="1"/>
  <c r="J21" i="9"/>
  <c r="L21" i="9" s="1"/>
  <c r="J61" i="9"/>
  <c r="L61" i="9" s="1"/>
  <c r="I48" i="41" l="1"/>
  <c r="I45" i="41"/>
  <c r="G48" i="41"/>
  <c r="J20" i="41"/>
  <c r="L20" i="41" s="1"/>
  <c r="G36" i="41"/>
  <c r="J36" i="41" s="1"/>
  <c r="L36" i="41" s="1"/>
  <c r="I35" i="41"/>
  <c r="G35" i="41"/>
  <c r="G34" i="41"/>
  <c r="J34" i="41" s="1"/>
  <c r="L34" i="41" s="1"/>
  <c r="G33" i="41"/>
  <c r="J33" i="41" s="1"/>
  <c r="L33" i="41" s="1"/>
  <c r="I32" i="41"/>
  <c r="G32" i="41"/>
  <c r="G29" i="41"/>
  <c r="G30" i="41" s="1"/>
  <c r="G31" i="41" s="1"/>
  <c r="J31" i="41" s="1"/>
  <c r="L31" i="41" s="1"/>
  <c r="G23" i="41"/>
  <c r="J23" i="41" s="1"/>
  <c r="L23" i="41" s="1"/>
  <c r="I22" i="41"/>
  <c r="G22" i="41"/>
  <c r="G21" i="41"/>
  <c r="J21" i="41" s="1"/>
  <c r="L21" i="41" s="1"/>
  <c r="I19" i="41"/>
  <c r="G19" i="41"/>
  <c r="G16" i="41"/>
  <c r="G17" i="41" s="1"/>
  <c r="G18" i="41" s="1"/>
  <c r="J18" i="41" s="1"/>
  <c r="L18" i="41" s="1"/>
  <c r="J12" i="55"/>
  <c r="B41" i="14"/>
  <c r="A41" i="14"/>
  <c r="AH24" i="55"/>
  <c r="AG24" i="55"/>
  <c r="AF24" i="55"/>
  <c r="AE24" i="55"/>
  <c r="AD24" i="55"/>
  <c r="AC24" i="55"/>
  <c r="AB24" i="55"/>
  <c r="AA24" i="55"/>
  <c r="G3" i="55"/>
  <c r="J2" i="55"/>
  <c r="H2" i="55"/>
  <c r="G2" i="55"/>
  <c r="B2" i="55"/>
  <c r="J32" i="41" l="1"/>
  <c r="L32" i="41" s="1"/>
  <c r="N55" i="55"/>
  <c r="N41" i="14" s="1"/>
  <c r="L12" i="55"/>
  <c r="L55" i="55" s="1"/>
  <c r="L41" i="14" s="1"/>
  <c r="J55" i="55"/>
  <c r="J41" i="14" s="1"/>
  <c r="J48" i="41"/>
  <c r="L48" i="41" s="1"/>
  <c r="J19" i="41"/>
  <c r="L19" i="41" s="1"/>
  <c r="J22" i="41"/>
  <c r="L22" i="41" s="1"/>
  <c r="J16" i="41"/>
  <c r="L16" i="41" s="1"/>
  <c r="J35" i="41"/>
  <c r="L35" i="41" s="1"/>
  <c r="G42" i="41"/>
  <c r="G43" i="41" s="1"/>
  <c r="G44" i="41" s="1"/>
  <c r="J44" i="41" s="1"/>
  <c r="L44" i="41" s="1"/>
  <c r="J47" i="41"/>
  <c r="L47" i="41" s="1"/>
  <c r="G46" i="41"/>
  <c r="J46" i="41" s="1"/>
  <c r="L46" i="41" s="1"/>
  <c r="G49" i="41"/>
  <c r="J49" i="41" s="1"/>
  <c r="L49" i="41" s="1"/>
  <c r="G45" i="41"/>
  <c r="J45" i="41" s="1"/>
  <c r="L45" i="41" s="1"/>
  <c r="J17" i="41"/>
  <c r="L17" i="41" s="1"/>
  <c r="J29" i="41"/>
  <c r="L29" i="41" s="1"/>
  <c r="J30" i="41"/>
  <c r="L30" i="41" s="1"/>
  <c r="J36" i="17"/>
  <c r="J42" i="17"/>
  <c r="L42" i="17" s="1"/>
  <c r="M42" i="17" s="1"/>
  <c r="M63" i="17" s="1"/>
  <c r="M25" i="14" s="1"/>
  <c r="J43" i="41" l="1"/>
  <c r="L43" i="41" s="1"/>
  <c r="J42" i="41"/>
  <c r="L42" i="41" s="1"/>
  <c r="L92" i="41" l="1"/>
  <c r="L37" i="14" s="1"/>
  <c r="M92" i="41"/>
  <c r="M37" i="14" s="1"/>
  <c r="J92" i="41"/>
  <c r="C57" i="17"/>
  <c r="E55" i="17"/>
  <c r="L63" i="17" l="1"/>
  <c r="V63" i="17" l="1"/>
  <c r="L25" i="14"/>
  <c r="B19" i="14"/>
  <c r="L19" i="14" l="1"/>
  <c r="L52" i="44"/>
  <c r="AT8" i="10"/>
  <c r="AT9" i="10"/>
  <c r="AT10" i="10"/>
  <c r="AT7" i="10"/>
  <c r="AS6" i="10"/>
  <c r="AS5" i="10"/>
  <c r="AP6" i="10"/>
  <c r="AP7" i="10"/>
  <c r="AP8" i="10"/>
  <c r="AP9" i="10"/>
  <c r="AP10" i="10"/>
  <c r="AP5" i="10"/>
  <c r="G3" i="34" l="1"/>
  <c r="J2" i="34"/>
  <c r="H2" i="34"/>
  <c r="G2" i="34"/>
  <c r="B2" i="34"/>
  <c r="G3" i="41"/>
  <c r="J2" i="41"/>
  <c r="H2" i="41"/>
  <c r="G2" i="41"/>
  <c r="B2" i="41"/>
  <c r="G3" i="9"/>
  <c r="J2" i="9"/>
  <c r="H2" i="9"/>
  <c r="G2" i="9"/>
  <c r="B2" i="9"/>
  <c r="G3" i="10"/>
  <c r="J2" i="10"/>
  <c r="H2" i="10"/>
  <c r="G2" i="10"/>
  <c r="B2" i="10"/>
  <c r="G3" i="8"/>
  <c r="J2" i="8"/>
  <c r="H2" i="8"/>
  <c r="G2" i="8"/>
  <c r="B2" i="8"/>
  <c r="G3" i="1"/>
  <c r="J2" i="1"/>
  <c r="H2" i="1"/>
  <c r="G2" i="1"/>
  <c r="B2" i="1"/>
  <c r="G3" i="17"/>
  <c r="J2" i="17"/>
  <c r="H2" i="17"/>
  <c r="G2" i="17"/>
  <c r="B2" i="17"/>
  <c r="G3" i="27"/>
  <c r="J2" i="27"/>
  <c r="H2" i="27"/>
  <c r="G2" i="27"/>
  <c r="B2" i="27"/>
  <c r="G3" i="46"/>
  <c r="J2" i="46"/>
  <c r="H2" i="46"/>
  <c r="G2" i="46"/>
  <c r="B2" i="46"/>
  <c r="G3" i="45"/>
  <c r="H2" i="45"/>
  <c r="J2" i="45"/>
  <c r="G2" i="45"/>
  <c r="B2" i="45"/>
  <c r="B39" i="14"/>
  <c r="B37" i="14"/>
  <c r="J18" i="9"/>
  <c r="L18" i="9" s="1"/>
  <c r="J19" i="9"/>
  <c r="L19" i="9" s="1"/>
  <c r="J20" i="9"/>
  <c r="L20" i="9" s="1"/>
  <c r="J22" i="9"/>
  <c r="L22" i="9" s="1"/>
  <c r="J17" i="9"/>
  <c r="L17" i="9" s="1"/>
  <c r="B35" i="14"/>
  <c r="B31" i="14"/>
  <c r="B29" i="14"/>
  <c r="B27" i="14"/>
  <c r="B25" i="14"/>
  <c r="B23" i="14"/>
  <c r="B21" i="14"/>
  <c r="B17" i="14"/>
  <c r="J66" i="27"/>
  <c r="J23" i="14" s="1"/>
  <c r="AA22" i="46"/>
  <c r="AA25" i="46"/>
  <c r="AA19" i="46"/>
  <c r="AH32" i="46"/>
  <c r="AG32" i="46"/>
  <c r="AF32" i="46"/>
  <c r="AE32" i="46"/>
  <c r="AD32" i="46"/>
  <c r="AC32" i="46"/>
  <c r="AB32" i="46"/>
  <c r="AA16" i="46"/>
  <c r="AA21" i="46"/>
  <c r="AA66" i="27"/>
  <c r="AB66" i="27"/>
  <c r="AA63" i="17"/>
  <c r="AB63" i="17"/>
  <c r="AC63" i="17"/>
  <c r="AD63" i="17"/>
  <c r="AE63" i="17"/>
  <c r="AF63" i="17"/>
  <c r="AG63" i="17"/>
  <c r="AH63" i="17"/>
  <c r="AA33" i="8"/>
  <c r="AB33" i="8"/>
  <c r="AC33" i="8"/>
  <c r="AD33" i="8"/>
  <c r="AE33" i="8"/>
  <c r="AF33" i="8"/>
  <c r="AG33" i="8"/>
  <c r="AH33" i="8"/>
  <c r="AA37" i="10"/>
  <c r="AB37" i="10"/>
  <c r="AC37" i="10"/>
  <c r="AD37" i="10"/>
  <c r="AE37" i="10"/>
  <c r="AF37" i="10"/>
  <c r="AG37" i="10"/>
  <c r="AH37" i="10"/>
  <c r="AE45" i="9"/>
  <c r="AF45" i="9"/>
  <c r="AG45" i="9"/>
  <c r="AH45" i="9"/>
  <c r="AI45" i="9"/>
  <c r="AJ45" i="9"/>
  <c r="AK45" i="9"/>
  <c r="AL45" i="9"/>
  <c r="AC66" i="27"/>
  <c r="AD66" i="27"/>
  <c r="AE66" i="27"/>
  <c r="AF66" i="27"/>
  <c r="AG66" i="27"/>
  <c r="AH66" i="27"/>
  <c r="J59" i="34"/>
  <c r="L44" i="45" l="1"/>
  <c r="J39" i="14"/>
  <c r="J25" i="9"/>
  <c r="L25" i="9" s="1"/>
  <c r="AA32" i="46"/>
  <c r="J32" i="46"/>
  <c r="J21" i="14" s="1"/>
  <c r="J44" i="45"/>
  <c r="J26" i="9"/>
  <c r="L26" i="9" s="1"/>
  <c r="J37" i="14" l="1"/>
  <c r="J31" i="14"/>
  <c r="J33" i="8" l="1"/>
  <c r="J29" i="14" s="1"/>
  <c r="J58" i="9" l="1"/>
  <c r="L58" i="9" s="1"/>
  <c r="L84" i="9" l="1"/>
  <c r="L35" i="14" s="1"/>
  <c r="N84" i="9"/>
  <c r="N35" i="14" s="1"/>
  <c r="O84" i="9"/>
  <c r="O35" i="14" s="1"/>
  <c r="M84" i="9"/>
  <c r="M35" i="14" s="1"/>
  <c r="J84" i="9"/>
  <c r="J35" i="14" s="1"/>
  <c r="J63" i="17"/>
  <c r="J25" i="14" s="1"/>
  <c r="M50" i="14" l="1"/>
  <c r="M52" i="14"/>
  <c r="O50" i="14"/>
  <c r="O52" i="14"/>
  <c r="N50" i="14"/>
  <c r="N52" i="14"/>
  <c r="N55" i="14" l="1"/>
  <c r="M55" i="14"/>
  <c r="O55" i="14"/>
  <c r="L112" i="56" l="1"/>
  <c r="L33" i="14" s="1"/>
  <c r="G60" i="56"/>
  <c r="G61" i="56" s="1"/>
  <c r="J61" i="56" s="1"/>
  <c r="L52" i="14" l="1"/>
  <c r="L50" i="14"/>
  <c r="J60" i="56"/>
  <c r="J112" i="56" s="1"/>
  <c r="J33" i="14" s="1"/>
  <c r="L55" i="14" l="1"/>
  <c r="G52" i="14"/>
  <c r="J52" i="14" s="1"/>
  <c r="J50" i="14"/>
  <c r="J55" i="1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Bellway Homes</author>
  </authors>
  <commentList>
    <comment ref="AD45" authorId="0" shapeId="0" xr:uid="{35C0D68A-033B-D340-8078-102114D29C6A}">
      <text>
        <r>
          <rPr>
            <b/>
            <sz val="10"/>
            <color indexed="81"/>
            <rFont val="Tahoma"/>
            <family val="2"/>
          </rPr>
          <t>Bellway Homes:</t>
        </r>
        <r>
          <rPr>
            <sz val="10"/>
            <color indexed="81"/>
            <rFont val="Tahoma"/>
            <family val="2"/>
          </rPr>
          <t xml:space="preserve">
Add 12% for rockers &amp; junctions</t>
        </r>
      </text>
    </comment>
    <comment ref="AD167" authorId="0" shapeId="0" xr:uid="{84A3C7EA-BF5D-2D4A-A970-5CD5B91F6797}">
      <text>
        <r>
          <rPr>
            <b/>
            <sz val="10"/>
            <color indexed="81"/>
            <rFont val="Tahoma"/>
            <family val="2"/>
          </rPr>
          <t>Bellway Homes:</t>
        </r>
        <r>
          <rPr>
            <sz val="10"/>
            <color indexed="81"/>
            <rFont val="Tahoma"/>
            <family val="2"/>
          </rPr>
          <t xml:space="preserve">
Add 12% for rockers &amp; junctions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Bellway Homes</author>
  </authors>
  <commentList>
    <comment ref="AD113" authorId="0" shapeId="0" xr:uid="{4840A98A-4EC2-5641-B743-7F2A68F92099}">
      <text>
        <r>
          <rPr>
            <b/>
            <sz val="10"/>
            <color rgb="FF000000"/>
            <rFont val="Tahoma"/>
            <family val="2"/>
          </rPr>
          <t>Bellway Homes: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Add 12% for rockers &amp; junctions</t>
        </r>
      </text>
    </comment>
    <comment ref="AD303" authorId="0" shapeId="0" xr:uid="{4CF6E676-95D2-C746-8B7F-D59EF7AE9E97}">
      <text>
        <r>
          <rPr>
            <b/>
            <sz val="10"/>
            <color indexed="81"/>
            <rFont val="Tahoma"/>
            <family val="2"/>
          </rPr>
          <t>Bellway Homes:</t>
        </r>
        <r>
          <rPr>
            <sz val="10"/>
            <color indexed="81"/>
            <rFont val="Tahoma"/>
            <family val="2"/>
          </rPr>
          <t xml:space="preserve">
Add 12% for rockers &amp; junctions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Bellway Homes</author>
  </authors>
  <commentList>
    <comment ref="AD16" authorId="0" shapeId="0" xr:uid="{2E622371-6CAD-D442-AE8E-7A6376496AA8}">
      <text>
        <r>
          <rPr>
            <b/>
            <sz val="10"/>
            <color indexed="81"/>
            <rFont val="Tahoma"/>
            <family val="2"/>
          </rPr>
          <t>Bellway Homes:</t>
        </r>
        <r>
          <rPr>
            <sz val="10"/>
            <color indexed="81"/>
            <rFont val="Tahoma"/>
            <family val="2"/>
          </rPr>
          <t xml:space="preserve">
Add 12% for rockers &amp; junctions</t>
        </r>
      </text>
    </comment>
  </commentList>
</comments>
</file>

<file path=xl/sharedStrings.xml><?xml version="1.0" encoding="utf-8"?>
<sst xmlns="http://schemas.openxmlformats.org/spreadsheetml/2006/main" count="6718" uniqueCount="1534">
  <si>
    <t>Ref</t>
  </si>
  <si>
    <t>Description</t>
  </si>
  <si>
    <t>Rate</t>
  </si>
  <si>
    <t>Total</t>
  </si>
  <si>
    <t>m</t>
  </si>
  <si>
    <t>Unit</t>
  </si>
  <si>
    <t>Quantity</t>
  </si>
  <si>
    <t>Sum</t>
  </si>
  <si>
    <t>Abnormal Foundations</t>
  </si>
  <si>
    <t>Collection</t>
  </si>
  <si>
    <t>A</t>
  </si>
  <si>
    <t>Surface Water Attenuation</t>
  </si>
  <si>
    <t>Employment Space</t>
  </si>
  <si>
    <t>Safeguard Space</t>
  </si>
  <si>
    <t>Green space</t>
  </si>
  <si>
    <t>Residential Phases</t>
  </si>
  <si>
    <t>No</t>
  </si>
  <si>
    <r>
      <t>Phasing Breakdown including Area in m</t>
    </r>
    <r>
      <rPr>
        <b/>
        <sz val="11"/>
        <color theme="1"/>
        <rFont val="Calibri"/>
        <family val="2"/>
      </rPr>
      <t>²</t>
    </r>
  </si>
  <si>
    <t>m3</t>
  </si>
  <si>
    <t>Nr</t>
  </si>
  <si>
    <t>Hydro Brakes to manholes</t>
  </si>
  <si>
    <t>Off Site Works</t>
  </si>
  <si>
    <t>CIL Calculation</t>
  </si>
  <si>
    <t>CIL Rate/M2</t>
  </si>
  <si>
    <t>Indexation/M2</t>
  </si>
  <si>
    <t>Chargable Amount/M2</t>
  </si>
  <si>
    <t>Housetype</t>
  </si>
  <si>
    <t>Garage</t>
  </si>
  <si>
    <t>House SQFT</t>
  </si>
  <si>
    <t>Garage SQFT</t>
  </si>
  <si>
    <t>Total SQFT per Unit</t>
  </si>
  <si>
    <t xml:space="preserve">Total </t>
  </si>
  <si>
    <t>Total m2</t>
  </si>
  <si>
    <t>Date</t>
  </si>
  <si>
    <t>Breakdown of Abnormal Costs</t>
  </si>
  <si>
    <t>Provision of Play Area &amp; Equipment within POS</t>
  </si>
  <si>
    <t>The following are payments required under the terms of the S 106 Agreement</t>
  </si>
  <si>
    <t>Depth</t>
  </si>
  <si>
    <t>Length</t>
  </si>
  <si>
    <t>m2</t>
  </si>
  <si>
    <t>Manholes</t>
  </si>
  <si>
    <t>Excavte</t>
  </si>
  <si>
    <t>Shape</t>
  </si>
  <si>
    <t>SURFACE WATER</t>
  </si>
  <si>
    <t>Off site vol. from</t>
  </si>
  <si>
    <t>Pipe runs</t>
  </si>
  <si>
    <t>excavation</t>
  </si>
  <si>
    <t>From</t>
  </si>
  <si>
    <t>To</t>
  </si>
  <si>
    <t>Cost by size</t>
  </si>
  <si>
    <t>Storage</t>
  </si>
  <si>
    <t>Oversize</t>
  </si>
  <si>
    <t>225mm</t>
  </si>
  <si>
    <t>Cost per pipe/depth - All pipe diameters</t>
  </si>
  <si>
    <t>Cost per pipe/depth - specific to pipe diameter measured</t>
  </si>
  <si>
    <t>Total Lengths of pipe by diameter</t>
  </si>
  <si>
    <t>Cover</t>
  </si>
  <si>
    <t>Invert</t>
  </si>
  <si>
    <t>Average</t>
  </si>
  <si>
    <t>Dia.</t>
  </si>
  <si>
    <t>225mm @ 2.0m</t>
  </si>
  <si>
    <t>Difference</t>
  </si>
  <si>
    <t>Volume</t>
  </si>
  <si>
    <t>Pipes</t>
  </si>
  <si>
    <t>Total (£)</t>
  </si>
  <si>
    <t>Total Length (m)</t>
  </si>
  <si>
    <t>Length (m)</t>
  </si>
  <si>
    <t>Ave. rate (£)</t>
  </si>
  <si>
    <t>Amps</t>
  </si>
  <si>
    <t>Hydrobrake</t>
  </si>
  <si>
    <t>Size</t>
  </si>
  <si>
    <t xml:space="preserve">Cost </t>
  </si>
  <si>
    <t>225m equiv</t>
  </si>
  <si>
    <t>Pipe</t>
  </si>
  <si>
    <t xml:space="preserve">Standard </t>
  </si>
  <si>
    <t>Diameter</t>
  </si>
  <si>
    <t>Type 1 for Yes</t>
  </si>
  <si>
    <t>2.0m max</t>
  </si>
  <si>
    <t>M/H Vol</t>
  </si>
  <si>
    <t>AMPs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</si>
  <si>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</si>
  <si>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</si>
  <si>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</si>
  <si>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</si>
  <si>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</si>
  <si>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</si>
  <si>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</si>
  <si>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</si>
  <si>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</si>
  <si>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</si>
  <si>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</si>
  <si>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</si>
  <si>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</si>
  <si>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</si>
  <si>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S19</t>
  </si>
  <si>
    <t>S20</t>
  </si>
  <si>
    <t>S21</t>
  </si>
  <si>
    <t>S22</t>
  </si>
  <si>
    <t>S23</t>
  </si>
  <si>
    <t>S27</t>
  </si>
  <si>
    <t>S28</t>
  </si>
  <si>
    <t>S29</t>
  </si>
  <si>
    <t>S30</t>
  </si>
  <si>
    <t>S31</t>
  </si>
  <si>
    <t>S34</t>
  </si>
  <si>
    <t>S35</t>
  </si>
  <si>
    <t>S36</t>
  </si>
  <si>
    <t>S37</t>
  </si>
  <si>
    <t>Ave. AMPs</t>
  </si>
  <si>
    <t>E.O. Cost for Oversize Manholes</t>
  </si>
  <si>
    <t>Manholes No.</t>
  </si>
  <si>
    <t>Storage(m3)</t>
  </si>
  <si>
    <t>Average E.O. cost per manhole</t>
  </si>
  <si>
    <t>Section 106</t>
  </si>
  <si>
    <t>550mm retaining wall</t>
  </si>
  <si>
    <t>Excavate foundation</t>
  </si>
  <si>
    <t>Cart Away surplus arisings</t>
  </si>
  <si>
    <t>ConcreteFoundation</t>
  </si>
  <si>
    <t xml:space="preserve">Blockwork </t>
  </si>
  <si>
    <t>Drainage behind wall</t>
  </si>
  <si>
    <t>hardcore backfill behind wall</t>
  </si>
  <si>
    <t>1 Brick thick Brickwork facing to wall</t>
  </si>
  <si>
    <t>Coping to top of retaining wall</t>
  </si>
  <si>
    <t>1000mm retaining wall</t>
  </si>
  <si>
    <t>Establish</t>
  </si>
  <si>
    <t>Extra per m</t>
  </si>
  <si>
    <t>Piling Mat to support machine, 2m beyond the face of the structure</t>
  </si>
  <si>
    <t>Excavate &amp; cart to spoil heap within 100m</t>
  </si>
  <si>
    <t>300mm retaining wall</t>
  </si>
  <si>
    <t>Provisional allowance for additional service costs</t>
  </si>
  <si>
    <t>Pipe Run</t>
  </si>
  <si>
    <t>S5-S6</t>
  </si>
  <si>
    <t>S6-S7</t>
  </si>
  <si>
    <t>CL</t>
  </si>
  <si>
    <t>IL</t>
  </si>
  <si>
    <t>S7-S8</t>
  </si>
  <si>
    <t>S8-S9</t>
  </si>
  <si>
    <t>S9-S10</t>
  </si>
  <si>
    <t>S10-S11</t>
  </si>
  <si>
    <t>Dia</t>
  </si>
  <si>
    <t>Chainage for Pipe Size</t>
  </si>
  <si>
    <t>TOTAL</t>
  </si>
  <si>
    <t>S</t>
  </si>
  <si>
    <t>S42</t>
  </si>
  <si>
    <t>S43</t>
  </si>
  <si>
    <t>S44</t>
  </si>
  <si>
    <t>S49</t>
  </si>
  <si>
    <t>S52</t>
  </si>
  <si>
    <t>S53</t>
  </si>
  <si>
    <t>S54</t>
  </si>
  <si>
    <t>S59</t>
  </si>
  <si>
    <t>S60</t>
  </si>
  <si>
    <t>S61</t>
  </si>
  <si>
    <t>S62</t>
  </si>
  <si>
    <t>S63</t>
  </si>
  <si>
    <t>S64</t>
  </si>
  <si>
    <t>S65</t>
  </si>
  <si>
    <t>S69</t>
  </si>
  <si>
    <t>Service Diversion &amp; Substation</t>
  </si>
  <si>
    <t>Acres</t>
  </si>
  <si>
    <t>General Site Areas</t>
  </si>
  <si>
    <t>Gross</t>
  </si>
  <si>
    <t>Gardens</t>
  </si>
  <si>
    <t>POS</t>
  </si>
  <si>
    <t>Imported subsoil / inert material</t>
  </si>
  <si>
    <t>Retaining Walls</t>
  </si>
  <si>
    <t>Allowance for retaining walls</t>
  </si>
  <si>
    <t>dispose on site</t>
  </si>
  <si>
    <t>Vibro Piles</t>
  </si>
  <si>
    <t>Stone columns 6 m long</t>
  </si>
  <si>
    <t>CS2 Gas Protection</t>
  </si>
  <si>
    <t>Seal joints</t>
  </si>
  <si>
    <t>Top Hat</t>
  </si>
  <si>
    <t>Extra Over for Thickening Founds</t>
  </si>
  <si>
    <t>2 Layers of B385 mesh in founds</t>
  </si>
  <si>
    <t>6m stone column</t>
  </si>
  <si>
    <t>Load testing 1 per 115 columns</t>
  </si>
  <si>
    <t>Dummy footing test 1 per 550 piles</t>
  </si>
  <si>
    <t>Vibration monitoring</t>
  </si>
  <si>
    <t>10% contingency</t>
  </si>
  <si>
    <t>Phases</t>
  </si>
  <si>
    <t>Pile mat</t>
  </si>
  <si>
    <t>Vibro</t>
  </si>
  <si>
    <t>based on</t>
  </si>
  <si>
    <t>Condition</t>
  </si>
  <si>
    <t>footprint</t>
  </si>
  <si>
    <t>Add Conc</t>
  </si>
  <si>
    <t>Nodes</t>
  </si>
  <si>
    <t>Totals</t>
  </si>
  <si>
    <t>GF</t>
  </si>
  <si>
    <t>Part of Remediation Works</t>
  </si>
  <si>
    <t>Imported Stone for piling mat</t>
  </si>
  <si>
    <t>Slab Area</t>
  </si>
  <si>
    <t>Gas membrane - underside of slab</t>
  </si>
  <si>
    <t>Gas membrane - dressed up sides</t>
  </si>
  <si>
    <t>Foul Water Pumping Station</t>
  </si>
  <si>
    <t>Pump station - civils work</t>
  </si>
  <si>
    <t>Pump equipment</t>
  </si>
  <si>
    <t>Fencing</t>
  </si>
  <si>
    <t>Telemetry</t>
  </si>
  <si>
    <t>Maintenance &amp; power supply</t>
  </si>
  <si>
    <t>Rising main 150mm dia</t>
  </si>
  <si>
    <t>Connection to existing sewer</t>
  </si>
  <si>
    <t>Open Space &amp; Play Equipment</t>
  </si>
  <si>
    <t>S24</t>
  </si>
  <si>
    <t>Cart Away spoil</t>
  </si>
  <si>
    <t>Extra over cost of 1800mm manhole (1200 std)</t>
  </si>
  <si>
    <t>Width</t>
  </si>
  <si>
    <t>Extra over cost of 450mm pipe over 225mm</t>
  </si>
  <si>
    <t>S3</t>
  </si>
  <si>
    <t>S2</t>
  </si>
  <si>
    <t>Manhole</t>
  </si>
  <si>
    <t>length</t>
  </si>
  <si>
    <t>dia</t>
  </si>
  <si>
    <t>m3 volume</t>
  </si>
  <si>
    <t>1200 dia manhole 2m deep</t>
  </si>
  <si>
    <t>per m</t>
  </si>
  <si>
    <t>225 dia at 2m deep</t>
  </si>
  <si>
    <t>S25</t>
  </si>
  <si>
    <t>S26</t>
  </si>
  <si>
    <t>Foul Sewers</t>
  </si>
  <si>
    <t>8a</t>
  </si>
  <si>
    <t>8b</t>
  </si>
  <si>
    <t>Piling</t>
  </si>
  <si>
    <t>Ring Beam</t>
  </si>
  <si>
    <t>6m PCC Piles</t>
  </si>
  <si>
    <t>Extra Over Ring Beams</t>
  </si>
  <si>
    <t>2000mm retaining wall</t>
  </si>
  <si>
    <t>Phasing Breakdown</t>
  </si>
  <si>
    <t>Section 278 Works to Existing Highways</t>
  </si>
  <si>
    <t>Nett Acres</t>
  </si>
  <si>
    <t>Landscaping / POS</t>
  </si>
  <si>
    <t xml:space="preserve">Nr of OM </t>
  </si>
  <si>
    <t>Nr of Social</t>
  </si>
  <si>
    <t>Gross ft2</t>
  </si>
  <si>
    <t>Cut &amp; Fill</t>
  </si>
  <si>
    <t>Development Total</t>
  </si>
  <si>
    <t>Build Cost</t>
  </si>
  <si>
    <t>Beds</t>
  </si>
  <si>
    <t>Sq Ft</t>
  </si>
  <si>
    <t>Total ft2</t>
  </si>
  <si>
    <t>No Units</t>
  </si>
  <si>
    <t>Founds</t>
  </si>
  <si>
    <t>Supers</t>
  </si>
  <si>
    <t>Plot Dev</t>
  </si>
  <si>
    <t>Total Bld</t>
  </si>
  <si>
    <t>£ per ft2</t>
  </si>
  <si>
    <t>Private Sale</t>
  </si>
  <si>
    <t>Affordable</t>
  </si>
  <si>
    <t>Gross Site Area</t>
  </si>
  <si>
    <t>Landscape / POS</t>
  </si>
  <si>
    <t>Nett Dev</t>
  </si>
  <si>
    <t>Road Length</t>
  </si>
  <si>
    <t>Footpaths</t>
  </si>
  <si>
    <t>2.0m to road</t>
  </si>
  <si>
    <t>2.0m independent</t>
  </si>
  <si>
    <t>3.0m cycle path</t>
  </si>
  <si>
    <t>Shared Drives</t>
  </si>
  <si>
    <t>ft2</t>
  </si>
  <si>
    <r>
      <t>Contingency - 5% on Build Costs</t>
    </r>
    <r>
      <rPr>
        <sz val="12"/>
        <color theme="1"/>
        <rFont val="Calibri"/>
        <family val="2"/>
        <scheme val="minor"/>
      </rPr>
      <t xml:space="preserve"> due risk on Abnormals</t>
    </r>
  </si>
  <si>
    <t>Value</t>
  </si>
  <si>
    <t>Additional Road Costs - 0 &amp; 1 Sided Development</t>
  </si>
  <si>
    <t>Additional Costs associated with Roads, Footpaths and drainage that are either no side or 1 side development reducing the efficiency of the layout due to the site constraints</t>
  </si>
  <si>
    <t>6.50m Wide Road</t>
  </si>
  <si>
    <t>2.00m Footpath both sides of Road</t>
  </si>
  <si>
    <t>Road Drainage - gullies</t>
  </si>
  <si>
    <t>Road Drainage - gullies &amp; SW sewer</t>
  </si>
  <si>
    <t>Additional Cost for 5.50m road - 1 sided frontage</t>
  </si>
  <si>
    <t>5.50m Wide Road</t>
  </si>
  <si>
    <t>Additional Cost for street lighting - no house fronting</t>
  </si>
  <si>
    <t>Street Light installation</t>
  </si>
  <si>
    <t>Street Light power supply</t>
  </si>
  <si>
    <t>Additional Cost for street lighting - 1 sided frontage</t>
  </si>
  <si>
    <t>Cart Away capping layer displaced material</t>
  </si>
  <si>
    <t>5.50m Wide Road - 1 sided</t>
  </si>
  <si>
    <t>Build Up of Road Costs</t>
  </si>
  <si>
    <t>Roads</t>
  </si>
  <si>
    <t>Redrow Lancashire</t>
  </si>
  <si>
    <t>Form 5.50 m Wide DBM Tarmac Roads</t>
  </si>
  <si>
    <t>Cost to Build Per m</t>
  </si>
  <si>
    <t>Stage 1 Works</t>
  </si>
  <si>
    <t>Site Strip</t>
  </si>
  <si>
    <t>Unit Total</t>
  </si>
  <si>
    <t>Total £</t>
  </si>
  <si>
    <t>Topsoil thickness</t>
  </si>
  <si>
    <t>Dispose of off site</t>
  </si>
  <si>
    <t>Road Construction</t>
  </si>
  <si>
    <t>Excavate to formation</t>
  </si>
  <si>
    <t>Imported 6F2 capping</t>
  </si>
  <si>
    <t>MOT Type 1 Sub-base</t>
  </si>
  <si>
    <t>DBM Roadbase</t>
  </si>
  <si>
    <t>DBM Basecourse</t>
  </si>
  <si>
    <t>Sealing Grit</t>
  </si>
  <si>
    <t>Temporary Kerbs</t>
  </si>
  <si>
    <t>150x125 Straight</t>
  </si>
  <si>
    <t>150x125 Curved</t>
  </si>
  <si>
    <t>Remove Temp &amp; Lay Permanent Kerbs</t>
  </si>
  <si>
    <t xml:space="preserve">125x255 Straight </t>
  </si>
  <si>
    <t xml:space="preserve"> 125x255 Curved</t>
  </si>
  <si>
    <t>Stage 3 Works - Wearing Courses</t>
  </si>
  <si>
    <t>Raise Manholes</t>
  </si>
  <si>
    <t>Take 1 per 35m x 2</t>
  </si>
  <si>
    <t>Raise Gullies</t>
  </si>
  <si>
    <t>Take 1 per 20m x 2</t>
  </si>
  <si>
    <t>Clean off &amp; tack coat</t>
  </si>
  <si>
    <t>DBM Wearing Course</t>
  </si>
  <si>
    <t>White lining</t>
  </si>
  <si>
    <t>Street Signage</t>
  </si>
  <si>
    <t>Total Costs</t>
  </si>
  <si>
    <t>£</t>
  </si>
  <si>
    <t>Form 5.50 m Wide HRA Roads with Green Chippings</t>
  </si>
  <si>
    <t>HRA Wearing Course</t>
  </si>
  <si>
    <t>with Green Chippings</t>
  </si>
  <si>
    <t>Form 5.50 m Wide HRA Roads with Red Chippings</t>
  </si>
  <si>
    <t>with Red Chippings</t>
  </si>
  <si>
    <t>Form 6.50 m Wide DBM Tarmac Roads</t>
  </si>
  <si>
    <t>Form 4.50 m Wide Block Paved Roads</t>
  </si>
  <si>
    <t>Remove Temp &amp; Lay Key Kerbs</t>
  </si>
  <si>
    <t>Straight</t>
  </si>
  <si>
    <t xml:space="preserve"> Curved</t>
  </si>
  <si>
    <t>Perforate Basecourse</t>
  </si>
  <si>
    <t>Block Paving - Brindle</t>
  </si>
  <si>
    <t>Form Parking Areas DBM Tarmac Roads</t>
  </si>
  <si>
    <t>Stage 2 Works</t>
  </si>
  <si>
    <t>Footpath Construction</t>
  </si>
  <si>
    <t>Lay Permanent Kerbs</t>
  </si>
  <si>
    <t>150x50 Straight</t>
  </si>
  <si>
    <t>150x50 Curved</t>
  </si>
  <si>
    <t>Form 1.80 m Wide Blockpaved Footpaths to Roads</t>
  </si>
  <si>
    <t>Block Paving</t>
  </si>
  <si>
    <t>Form 2.00 m Wide Tarmac Footpaths to Open Areas</t>
  </si>
  <si>
    <t>Build Up of Road Drainage</t>
  </si>
  <si>
    <t>Surface Water</t>
  </si>
  <si>
    <t>Road Drainage &amp; Plot Drainage Drag Outs</t>
  </si>
  <si>
    <t>Pipe Size</t>
  </si>
  <si>
    <t>Excavate and lay pipe all inclusive</t>
  </si>
  <si>
    <t>Depth ne 2.00</t>
  </si>
  <si>
    <t>Rocker pipes</t>
  </si>
  <si>
    <t>Junctions</t>
  </si>
  <si>
    <t>150 x 150</t>
  </si>
  <si>
    <t>150 x 225</t>
  </si>
  <si>
    <t>150 x 375</t>
  </si>
  <si>
    <t>150 x 450</t>
  </si>
  <si>
    <t>150 x 675</t>
  </si>
  <si>
    <t>Road gullies</t>
  </si>
  <si>
    <t>Bends to gullies</t>
  </si>
  <si>
    <t>Concrete bed &amp; Surround to bends</t>
  </si>
  <si>
    <t>Type 5/6 fin drains</t>
  </si>
  <si>
    <t>Drag Out Chambers 1.20m deep</t>
  </si>
  <si>
    <t>E/O Backfill with Stone</t>
  </si>
  <si>
    <t>E/O Cart Away spoil</t>
  </si>
  <si>
    <t>Surface Water Sewers</t>
  </si>
  <si>
    <t>Depth 2.00 to 3.00</t>
  </si>
  <si>
    <t>Depth 3.00 to 4.00</t>
  </si>
  <si>
    <t>Depth 4.00 to 5.00</t>
  </si>
  <si>
    <t>1200 diameter</t>
  </si>
  <si>
    <t>1350 diameter</t>
  </si>
  <si>
    <t>1500 diameter</t>
  </si>
  <si>
    <t>1800 diameter</t>
  </si>
  <si>
    <t>2100 diameter</t>
  </si>
  <si>
    <t>Drawing Number:</t>
  </si>
  <si>
    <t xml:space="preserve">1500 rates are overwritten 1350 rates below </t>
  </si>
  <si>
    <t>S4</t>
  </si>
  <si>
    <t>Manhole Size Requirements:</t>
  </si>
  <si>
    <t xml:space="preserve">Taken from UU standard details dwg no. STND_01_013 </t>
  </si>
  <si>
    <t>AMPs (Alternative Manhole Platform Systems)</t>
  </si>
  <si>
    <t>Typically reduces manhole size by 2 rings:</t>
  </si>
  <si>
    <t>Pipe Diameter</t>
  </si>
  <si>
    <t>Benching Width (standard)</t>
  </si>
  <si>
    <t>Benching Width (variable)</t>
  </si>
  <si>
    <t xml:space="preserve">Overall Diameter </t>
  </si>
  <si>
    <t>Suitable Manhole Size (mm)</t>
  </si>
  <si>
    <t>W/O AMPs</t>
  </si>
  <si>
    <t>With AMPs</t>
  </si>
  <si>
    <t>AMPs Costs (Supply Only)</t>
  </si>
  <si>
    <t>I inlet</t>
  </si>
  <si>
    <t>2 inlet</t>
  </si>
  <si>
    <t>1 inlet</t>
  </si>
  <si>
    <t>FOUL WATER</t>
  </si>
  <si>
    <t>150mm</t>
  </si>
  <si>
    <t>150mm @ 2.0m</t>
  </si>
  <si>
    <t>F1</t>
  </si>
  <si>
    <t>F2</t>
  </si>
  <si>
    <t>F3</t>
  </si>
  <si>
    <t>F4</t>
  </si>
  <si>
    <t>F5</t>
  </si>
  <si>
    <t>F6</t>
  </si>
  <si>
    <t>F7</t>
  </si>
  <si>
    <t>F8</t>
  </si>
  <si>
    <t>F10</t>
  </si>
  <si>
    <t>F11</t>
  </si>
  <si>
    <t>F12</t>
  </si>
  <si>
    <t>F13</t>
  </si>
  <si>
    <t>F14</t>
  </si>
  <si>
    <t>F15</t>
  </si>
  <si>
    <t>F16</t>
  </si>
  <si>
    <t>F17</t>
  </si>
  <si>
    <t>F18</t>
  </si>
  <si>
    <t>F19</t>
  </si>
  <si>
    <t>F20</t>
  </si>
  <si>
    <t>F</t>
  </si>
  <si>
    <t>1200mm equiv</t>
  </si>
  <si>
    <t>OFF SITE</t>
  </si>
  <si>
    <t>F9</t>
  </si>
  <si>
    <t>Volume(m3)</t>
  </si>
  <si>
    <t>Average E.O. Costs for OversizePipes/Manholes (previous viabilities):</t>
  </si>
  <si>
    <t>Length Drains</t>
  </si>
  <si>
    <t>Average Cost Per:</t>
  </si>
  <si>
    <t xml:space="preserve">Site </t>
  </si>
  <si>
    <t>GF/BF?</t>
  </si>
  <si>
    <t>Total E.O. cost</t>
  </si>
  <si>
    <t>No. Plots</t>
  </si>
  <si>
    <t>(standard)</t>
  </si>
  <si>
    <t>Acreage</t>
  </si>
  <si>
    <t>Plot</t>
  </si>
  <si>
    <t>Crompton  Way</t>
  </si>
  <si>
    <t>BF</t>
  </si>
  <si>
    <t>Cedar Fold</t>
  </si>
  <si>
    <t>G/BF*</t>
  </si>
  <si>
    <t>Hardys Gate</t>
  </si>
  <si>
    <t>MAN Diesel</t>
  </si>
  <si>
    <t>Offerton Park</t>
  </si>
  <si>
    <t>Heaton Manor</t>
  </si>
  <si>
    <t>Scholars Gate</t>
  </si>
  <si>
    <t>Waterhouse Mill</t>
  </si>
  <si>
    <t>Waggs Rd</t>
  </si>
  <si>
    <t>Bridgewater Place</t>
  </si>
  <si>
    <t>Salisbury Rd</t>
  </si>
  <si>
    <t>*G/BF - some hardstanding/buildings but large proportion of green areas</t>
  </si>
  <si>
    <t>Standard Costs for pipes based on drainage design:</t>
  </si>
  <si>
    <t>PPIC Manholes</t>
  </si>
  <si>
    <t>say 1 per 20m</t>
  </si>
  <si>
    <t>Drain run to PPIC</t>
  </si>
  <si>
    <t>say 10m per PPIC</t>
  </si>
  <si>
    <t>Gulley pots &amp; runs</t>
  </si>
  <si>
    <t>say 1no per 10m</t>
  </si>
  <si>
    <t>Pipe Costs</t>
  </si>
  <si>
    <t>Storage crates:</t>
  </si>
  <si>
    <t>(Assumed 1m Cover level, disposal on-site, back-fill SEM)</t>
  </si>
  <si>
    <t>60 x 20 x 1m</t>
  </si>
  <si>
    <t>Excavate</t>
  </si>
  <si>
    <t>Dispose on site, ne 150m</t>
  </si>
  <si>
    <t>Type 1 granular base</t>
  </si>
  <si>
    <t>Grade &amp; compact</t>
  </si>
  <si>
    <t>Storage modules (supply only)</t>
  </si>
  <si>
    <t>Storage modules (lab &amp; plant)</t>
  </si>
  <si>
    <t xml:space="preserve">Impermeable membrane </t>
  </si>
  <si>
    <t>Welding to joints</t>
  </si>
  <si>
    <t>Catch pit</t>
  </si>
  <si>
    <t>sum</t>
  </si>
  <si>
    <t>Perforated pipes</t>
  </si>
  <si>
    <t>Venting pipes</t>
  </si>
  <si>
    <t>Back fill granular material surround</t>
  </si>
  <si>
    <t>Back fill SEM</t>
  </si>
  <si>
    <t>say</t>
  </si>
  <si>
    <t xml:space="preserve"> /m3</t>
  </si>
  <si>
    <t>40 x 25 x 1m</t>
  </si>
  <si>
    <t>20 x 20 x 1.5m</t>
  </si>
  <si>
    <t>Total off-line storage</t>
  </si>
  <si>
    <t>Extra Over costs for PCC Slab compared to insitu concrete</t>
  </si>
  <si>
    <t xml:space="preserve">Stratford std strip with </t>
  </si>
  <si>
    <t>Block &amp; Beam Foundation</t>
  </si>
  <si>
    <t>Insitu Concrete Slab</t>
  </si>
  <si>
    <t>quant</t>
  </si>
  <si>
    <t>unit</t>
  </si>
  <si>
    <t>rate</t>
  </si>
  <si>
    <t>thermalite 4n coursing brick</t>
  </si>
  <si>
    <t>coursing brick to screed edge</t>
  </si>
  <si>
    <t>150mm hardcore beneath slab</t>
  </si>
  <si>
    <t>50mm sand blinding beneath slab</t>
  </si>
  <si>
    <t>B503 slab mesh</t>
  </si>
  <si>
    <t>A193 top mesh to slab</t>
  </si>
  <si>
    <t>cut/bent rebar to slab</t>
  </si>
  <si>
    <t>item</t>
  </si>
  <si>
    <t>RC35 concrete to slab</t>
  </si>
  <si>
    <t>supply/fix beam and block floor</t>
  </si>
  <si>
    <t>75mm floor screed</t>
  </si>
  <si>
    <t>weedkiller to underfloor</t>
  </si>
  <si>
    <t>cranked vents</t>
  </si>
  <si>
    <t>ea</t>
  </si>
  <si>
    <t>int wall vents</t>
  </si>
  <si>
    <t/>
  </si>
  <si>
    <t xml:space="preserve">Extra Over Cost per plot </t>
  </si>
  <si>
    <t>Foxdenton Farm</t>
  </si>
  <si>
    <t>18180/01/1 R3</t>
  </si>
  <si>
    <t>Contractors Prelims</t>
  </si>
  <si>
    <t>%</t>
  </si>
  <si>
    <t>Contractors Margin</t>
  </si>
  <si>
    <t>Form 2.00 m Wide Tarmac Footpaths to Roads</t>
  </si>
  <si>
    <t>Sundry Builders Work</t>
  </si>
  <si>
    <t>Item</t>
  </si>
  <si>
    <t>Form 3.00 m Wide Tarmac Cycle Ways to Open Areas</t>
  </si>
  <si>
    <t>Supervision Fees</t>
  </si>
  <si>
    <t>Cut - reprofile the site</t>
  </si>
  <si>
    <t>Fill - reprofile the site</t>
  </si>
  <si>
    <t>Saving on the Standard Build Costs for</t>
  </si>
  <si>
    <t>House Footprint</t>
  </si>
  <si>
    <t>Drives</t>
  </si>
  <si>
    <t>Paths</t>
  </si>
  <si>
    <t>House Founds</t>
  </si>
  <si>
    <t>F22 on existing</t>
  </si>
  <si>
    <t>F23</t>
  </si>
  <si>
    <t>F24</t>
  </si>
  <si>
    <t>F25</t>
  </si>
  <si>
    <t>F26</t>
  </si>
  <si>
    <t>F27</t>
  </si>
  <si>
    <t>F28</t>
  </si>
  <si>
    <t>F29</t>
  </si>
  <si>
    <t>F30</t>
  </si>
  <si>
    <t>F31</t>
  </si>
  <si>
    <t>F32</t>
  </si>
  <si>
    <t>F33 on existing</t>
  </si>
  <si>
    <t>Ave. depth</t>
  </si>
  <si>
    <t>Upper Warren</t>
  </si>
  <si>
    <t>S1 Outfall River</t>
  </si>
  <si>
    <t>S6 Hydrobrake</t>
  </si>
  <si>
    <t>S7 Discharge</t>
  </si>
  <si>
    <t>S8 Outfall Basin</t>
  </si>
  <si>
    <t>North Phs 1</t>
  </si>
  <si>
    <t>Ave. Depth</t>
  </si>
  <si>
    <t>S35 Outlet Basin</t>
  </si>
  <si>
    <t>S34 Outfall Basin</t>
  </si>
  <si>
    <t>S38 Outlet Basin</t>
  </si>
  <si>
    <t>S32 Hydro Brake</t>
  </si>
  <si>
    <t>S33 Outlet Basin</t>
  </si>
  <si>
    <t>S37 Headwall Outlet</t>
  </si>
  <si>
    <t>S57</t>
  </si>
  <si>
    <t>S58</t>
  </si>
  <si>
    <t>S39</t>
  </si>
  <si>
    <t>S40</t>
  </si>
  <si>
    <t>S56</t>
  </si>
  <si>
    <t>S41</t>
  </si>
  <si>
    <t>S55</t>
  </si>
  <si>
    <t>S51</t>
  </si>
  <si>
    <t>S50</t>
  </si>
  <si>
    <t>S45</t>
  </si>
  <si>
    <t>S46</t>
  </si>
  <si>
    <t>S47</t>
  </si>
  <si>
    <t>S48</t>
  </si>
  <si>
    <t>S59 Headwall Oulet</t>
  </si>
  <si>
    <t>S108</t>
  </si>
  <si>
    <t>S63 Headwall Outlet</t>
  </si>
  <si>
    <t>S64 Outfall Basin</t>
  </si>
  <si>
    <t>S66</t>
  </si>
  <si>
    <t>S67</t>
  </si>
  <si>
    <t>S68</t>
  </si>
  <si>
    <t>S92</t>
  </si>
  <si>
    <t>S93</t>
  </si>
  <si>
    <t>S94</t>
  </si>
  <si>
    <t>S95</t>
  </si>
  <si>
    <t>S96</t>
  </si>
  <si>
    <t>S107</t>
  </si>
  <si>
    <t>S97</t>
  </si>
  <si>
    <t>S98</t>
  </si>
  <si>
    <t>S99</t>
  </si>
  <si>
    <t>S104</t>
  </si>
  <si>
    <t>S105</t>
  </si>
  <si>
    <t>S106</t>
  </si>
  <si>
    <t>S100</t>
  </si>
  <si>
    <t>S101</t>
  </si>
  <si>
    <t>S102</t>
  </si>
  <si>
    <t>S103</t>
  </si>
  <si>
    <t>S70</t>
  </si>
  <si>
    <t>S71</t>
  </si>
  <si>
    <t>S72</t>
  </si>
  <si>
    <t>S90</t>
  </si>
  <si>
    <t>S91</t>
  </si>
  <si>
    <t>S73</t>
  </si>
  <si>
    <t>S74</t>
  </si>
  <si>
    <t>S80</t>
  </si>
  <si>
    <t>S89</t>
  </si>
  <si>
    <t>S75</t>
  </si>
  <si>
    <t>S76</t>
  </si>
  <si>
    <t>S77</t>
  </si>
  <si>
    <t>S78</t>
  </si>
  <si>
    <t>S86</t>
  </si>
  <si>
    <t>S79</t>
  </si>
  <si>
    <t>S81</t>
  </si>
  <si>
    <t>S82</t>
  </si>
  <si>
    <t>S83</t>
  </si>
  <si>
    <t>S84</t>
  </si>
  <si>
    <t>S85</t>
  </si>
  <si>
    <t>S61 Headwall Watercourse</t>
  </si>
  <si>
    <t>South Phs 1</t>
  </si>
  <si>
    <t>Additional Depth for building out of the ground</t>
  </si>
  <si>
    <t>Additional Cost for 5.50m road - 0 sided frontage</t>
  </si>
  <si>
    <t>Treatment of Public Open Space (POS)</t>
  </si>
  <si>
    <t>Strip and clear POS</t>
  </si>
  <si>
    <t>Prep and layout POS</t>
  </si>
  <si>
    <t>Footpaths in POS</t>
  </si>
  <si>
    <t>3.00m wide cycle/footpath</t>
  </si>
  <si>
    <t>2.00m wide footpath</t>
  </si>
  <si>
    <t>Sub Stations - Housing</t>
  </si>
  <si>
    <t>Sub Stations - Equipment</t>
  </si>
  <si>
    <t>Service Diversions</t>
  </si>
  <si>
    <t>Acoustic windows &amp; Vents</t>
  </si>
  <si>
    <t>Electric Car Charging Points</t>
  </si>
  <si>
    <t>Hedges to front boundary</t>
  </si>
  <si>
    <t>E/O Dwarf Wall &amp; railings front Boundary</t>
  </si>
  <si>
    <t>High Farm, Skippers Lane</t>
  </si>
  <si>
    <t>Foundation Length</t>
  </si>
  <si>
    <t>Dwelling Footprint</t>
  </si>
  <si>
    <t>Additional Cost for 6.75m road - no house fronting</t>
  </si>
  <si>
    <t>Additional Cost for 6.75m road - 1 sided frontage</t>
  </si>
  <si>
    <t>Site 1</t>
  </si>
  <si>
    <t>West Parcel</t>
  </si>
  <si>
    <t>East Parcel</t>
  </si>
  <si>
    <t>Phs</t>
  </si>
  <si>
    <t>Series:</t>
  </si>
  <si>
    <t>BCIS All-in TPI</t>
  </si>
  <si>
    <t>BCIS General Building Cost Index</t>
  </si>
  <si>
    <t xml:space="preserve">Series number: </t>
  </si>
  <si>
    <t>101</t>
  </si>
  <si>
    <t>quarterly</t>
  </si>
  <si>
    <t>1111</t>
  </si>
  <si>
    <t>monthly</t>
  </si>
  <si>
    <t xml:space="preserve">Base: </t>
  </si>
  <si>
    <t>1985 mean = 100</t>
  </si>
  <si>
    <t xml:space="preserve">Last updated: </t>
  </si>
  <si>
    <t>28-Feb-2020</t>
  </si>
  <si>
    <t>25-Feb-2020</t>
  </si>
  <si>
    <t xml:space="preserve">Notes: </t>
  </si>
  <si>
    <t>Downloaded:</t>
  </si>
  <si>
    <t>10-Mar-2020 09:30</t>
  </si>
  <si>
    <t>Index</t>
  </si>
  <si>
    <t>Status</t>
  </si>
  <si>
    <t>Sample</t>
  </si>
  <si>
    <t>Firm</t>
  </si>
  <si>
    <t>63</t>
  </si>
  <si>
    <t>45</t>
  </si>
  <si>
    <t>42</t>
  </si>
  <si>
    <t>49</t>
  </si>
  <si>
    <t>33</t>
  </si>
  <si>
    <t>30</t>
  </si>
  <si>
    <t>36</t>
  </si>
  <si>
    <t>31</t>
  </si>
  <si>
    <t>32</t>
  </si>
  <si>
    <t>37</t>
  </si>
  <si>
    <t>39</t>
  </si>
  <si>
    <t>Revised</t>
  </si>
  <si>
    <t>20</t>
  </si>
  <si>
    <t>28</t>
  </si>
  <si>
    <t>24</t>
  </si>
  <si>
    <t>25</t>
  </si>
  <si>
    <t>27</t>
  </si>
  <si>
    <t>23</t>
  </si>
  <si>
    <t>Forecast</t>
  </si>
  <si>
    <t>13</t>
  </si>
  <si>
    <t>18</t>
  </si>
  <si>
    <t>15</t>
  </si>
  <si>
    <t>Provisional</t>
  </si>
  <si>
    <t>11</t>
  </si>
  <si>
    <t>8</t>
  </si>
  <si>
    <t>7</t>
  </si>
  <si>
    <t>Externals &amp;Site Spec Requirements</t>
  </si>
  <si>
    <t>Allowance for changes to Building Regs</t>
  </si>
  <si>
    <t>PV Panels for energy requirements</t>
  </si>
  <si>
    <t>Divert Overhead Cable</t>
  </si>
  <si>
    <t>Civils Works junction improvements</t>
  </si>
  <si>
    <t>Cart Away Surplus cut material</t>
  </si>
  <si>
    <t>Headwall discharge to attenuatiopn basin</t>
  </si>
  <si>
    <t>Headwall to outfall</t>
  </si>
  <si>
    <t>Extra Over for Suspended Ground Floor slabs</t>
  </si>
  <si>
    <t>Additional depth to std foundation</t>
  </si>
  <si>
    <t>Cart Away</t>
  </si>
  <si>
    <t>Concrete fil</t>
  </si>
  <si>
    <t>Clay Board to foundation</t>
  </si>
  <si>
    <t>Void former for slabs</t>
  </si>
  <si>
    <t xml:space="preserve">m </t>
  </si>
  <si>
    <t>Whole site</t>
  </si>
  <si>
    <t>Cowell CIL</t>
  </si>
  <si>
    <t>Cowm Top Lane, Rochdale</t>
  </si>
  <si>
    <t>Index at ?????</t>
  </si>
  <si>
    <t>serve site</t>
  </si>
  <si>
    <t>Link to Aerial Pics &amp; Drone Footage</t>
  </si>
  <si>
    <t>https://1drv.ms/u/s!Aqn1RsZvM4igg58zRvu_00deVcL7Xw?e=xSFreO</t>
  </si>
  <si>
    <t>Service disconnections to existing Farmhouse</t>
  </si>
  <si>
    <t xml:space="preserve">Demolition of a small structure in the north of the site </t>
  </si>
  <si>
    <t xml:space="preserve">Demolition of the farmhouse and associated stable blocks in the south of the site </t>
  </si>
  <si>
    <t>Allowance to turnover of fills where present / around the farmyard area /deal with the infilled former pond</t>
  </si>
  <si>
    <t>Cement Treatment allownace for wet, silty material</t>
  </si>
  <si>
    <t xml:space="preserve">Air monitoring during the turnover works </t>
  </si>
  <si>
    <t xml:space="preserve">Dust suppression during the turnover works </t>
  </si>
  <si>
    <t>Groundworkers Prelims for cut &amp; fill operation</t>
  </si>
  <si>
    <t>wks</t>
  </si>
  <si>
    <t>Consultant Engineer inspections &amp; periodic supervision</t>
  </si>
  <si>
    <t>NO Reduced Level Dig for std build</t>
  </si>
  <si>
    <t>Allowance for Lime stabalisation</t>
  </si>
  <si>
    <t>tonne</t>
  </si>
  <si>
    <t>MMP, As built records and engineer sign off</t>
  </si>
  <si>
    <t>Trows Farm, Castleton</t>
  </si>
  <si>
    <t>Acoustic Fence to boundary with M60</t>
  </si>
  <si>
    <t xml:space="preserve">5.50m road </t>
  </si>
  <si>
    <t>2.0m footpath both sides</t>
  </si>
  <si>
    <t>Surface water inc gullies</t>
  </si>
  <si>
    <t>Street lights (inc connections)</t>
  </si>
  <si>
    <t>Design &amp; Professional Fees</t>
  </si>
  <si>
    <t>Allowance for new service media for site</t>
  </si>
  <si>
    <t>Extend Cowm Top Lane to site for main Access</t>
  </si>
  <si>
    <t>Works associated with Ripple Gate Lane crossing point</t>
  </si>
  <si>
    <t>Works associated with Trows Lane crossing point</t>
  </si>
  <si>
    <t>Allowance for connection point with new works</t>
  </si>
  <si>
    <t>National Grid - High Pressure Gas Main</t>
  </si>
  <si>
    <t>Supervision by NG when working within 10m of gas main</t>
  </si>
  <si>
    <t>Protection works over gas main for new road</t>
  </si>
  <si>
    <t>Protection to High Pressure Gas Main</t>
  </si>
  <si>
    <t>Maintenance of POS for 36 months post completion</t>
  </si>
  <si>
    <t>Visits</t>
  </si>
  <si>
    <t>POS - visits every 3 weeks for 10 mths per annum</t>
  </si>
  <si>
    <t>Cost of 3rd Party Land required for access road</t>
  </si>
  <si>
    <t>Purchase Price for Access road land</t>
  </si>
  <si>
    <t>Legal &amp; Agents Fees</t>
  </si>
  <si>
    <t>225mm dia Off Site Run to adopted Foul Sewer in Trows Lane</t>
  </si>
  <si>
    <t>225mm dia from development to Trows Lane</t>
  </si>
  <si>
    <t>Extra over 225mm dia within the development</t>
  </si>
  <si>
    <t>Drainage Runs</t>
  </si>
  <si>
    <t>Manholes to off development run</t>
  </si>
  <si>
    <t>Pipe storage</t>
  </si>
  <si>
    <t>Surface Water attenuation over sized pipes - 300mm dia</t>
  </si>
  <si>
    <t>Extra over cost of 300mm pipe over 225mm</t>
  </si>
  <si>
    <t>Extra over for depth over 2m</t>
  </si>
  <si>
    <t>Additional Costs of stone backfill</t>
  </si>
  <si>
    <t>Surface Water attenuation over sized pipes - 375mm dia</t>
  </si>
  <si>
    <t>Extra over cost of 375mm pipe over 225mm</t>
  </si>
  <si>
    <t>Surface Water attenuation over sized pipes - 450mm dia</t>
  </si>
  <si>
    <t>Surface Water attenuation over sized pipes - 525mm dia</t>
  </si>
  <si>
    <t>Extra over cost of 525mm pipe over 225mm</t>
  </si>
  <si>
    <t>Surface Water attenuation over sized pipes - 600mm dia</t>
  </si>
  <si>
    <t>Extra over cost of 600mm pipe over 225mm</t>
  </si>
  <si>
    <t>Surface Water attenuation over sized pipes - 750mm dia</t>
  </si>
  <si>
    <t>Extra over cost of 750mm pipe over 225mm</t>
  </si>
  <si>
    <t>Surface Water attenuation over sized pipes - 900mm dia</t>
  </si>
  <si>
    <t>Extra over cost of 900mm pipe over 225mm</t>
  </si>
  <si>
    <t>Surface Water attenuation over sized pipes - 1050mm dia</t>
  </si>
  <si>
    <t>Extra over cost of 1050mm pipe over 225mm</t>
  </si>
  <si>
    <t>Surface Water attenuation over sized pipes - 1200mm dia</t>
  </si>
  <si>
    <t>Extra over cost of 1200mm pipe over 225mm</t>
  </si>
  <si>
    <t>Surface Water attenuation over sized manholes</t>
  </si>
  <si>
    <t>Extra over cost of 1350mm manhole (1200 std)</t>
  </si>
  <si>
    <t>Additional Costs of cart away</t>
  </si>
  <si>
    <t>Extra over cost of 1500mm manhole (1200 std)</t>
  </si>
  <si>
    <t>Extra over cost of 2100mm manhole (1200 std)</t>
  </si>
  <si>
    <t>Make good Trows Lane after sewer installation</t>
  </si>
  <si>
    <t>Surface Water attenuation from road to Trowls Ln</t>
  </si>
  <si>
    <t>Allowance for Mass concrete fill to max depth 2m</t>
  </si>
  <si>
    <t>Imported Stone for piling mat 300mm thick</t>
  </si>
  <si>
    <t>UU water connection</t>
  </si>
  <si>
    <t>Gas connection along Cown Top to Queensway</t>
  </si>
  <si>
    <t>Future Homes 2025 - after June 25</t>
  </si>
  <si>
    <t>Barratt</t>
  </si>
  <si>
    <t>David Wilson Homes</t>
  </si>
  <si>
    <t>Bradgate Detached</t>
  </si>
  <si>
    <t>Avondale Detached</t>
  </si>
  <si>
    <t>Emmerson Detached</t>
  </si>
  <si>
    <t>Archford (End)</t>
  </si>
  <si>
    <t>3 bed house</t>
  </si>
  <si>
    <t>Archford (Mid)</t>
  </si>
  <si>
    <t>Hadley (End)</t>
  </si>
  <si>
    <t>Hadley (Det)</t>
  </si>
  <si>
    <t>Abbeydale Detached</t>
  </si>
  <si>
    <t>Greenwood ( End)</t>
  </si>
  <si>
    <t>Greenwood ( Mid)</t>
  </si>
  <si>
    <t>Millford Detached</t>
  </si>
  <si>
    <t>4 bed house</t>
  </si>
  <si>
    <t>Bayswater Detached</t>
  </si>
  <si>
    <t>Kirkdale Detached</t>
  </si>
  <si>
    <t>Hertford Detached</t>
  </si>
  <si>
    <t>Holden Detached</t>
  </si>
  <si>
    <t>5 bed house</t>
  </si>
  <si>
    <t>Emerson (Corner) Detached</t>
  </si>
  <si>
    <t>David Wilson</t>
  </si>
  <si>
    <t>Enter Dims Only</t>
  </si>
  <si>
    <t>Enter rates</t>
  </si>
  <si>
    <t>Stage 1</t>
  </si>
  <si>
    <t>Stage 2</t>
  </si>
  <si>
    <t>Stage 3</t>
  </si>
  <si>
    <t>Line &amp; sign</t>
  </si>
  <si>
    <t>Topsoil thickness and cart to site tip</t>
  </si>
  <si>
    <t>Dispose on site</t>
  </si>
  <si>
    <t>Build Up of Footpaths</t>
  </si>
  <si>
    <t>Excavate to formation and Cart to site tip</t>
  </si>
  <si>
    <t>Form 3.00 m Wide Tarmac Footpaths to Roads</t>
  </si>
  <si>
    <t>Number of Plots</t>
  </si>
  <si>
    <t>Sewer</t>
  </si>
  <si>
    <t>1200mm dia Depth ne 2.00</t>
  </si>
  <si>
    <t>Depth ne 1.00 ave</t>
  </si>
  <si>
    <t>Gully</t>
  </si>
  <si>
    <t>basis of calcs</t>
  </si>
  <si>
    <t>Dragouts</t>
  </si>
  <si>
    <t>Foul Water</t>
  </si>
  <si>
    <t>Build Regs -  Future Homes</t>
  </si>
  <si>
    <t>Build Regs - Part F&amp;L</t>
  </si>
  <si>
    <t>Cummulative</t>
  </si>
  <si>
    <t>pa</t>
  </si>
  <si>
    <t>First Legal Completion</t>
  </si>
  <si>
    <t>Supers Start</t>
  </si>
  <si>
    <t>Ground Works Start</t>
  </si>
  <si>
    <t>Roads and Sewers Start</t>
  </si>
  <si>
    <t>Planning Approval Gained</t>
  </si>
  <si>
    <t>Planning Application Submitted</t>
  </si>
  <si>
    <t>12 mths</t>
  </si>
  <si>
    <t>Dec</t>
  </si>
  <si>
    <t>Nov</t>
  </si>
  <si>
    <t>Oct</t>
  </si>
  <si>
    <t>Sep</t>
  </si>
  <si>
    <t>Aug</t>
  </si>
  <si>
    <t>Jul</t>
  </si>
  <si>
    <t>Jun</t>
  </si>
  <si>
    <t>May</t>
  </si>
  <si>
    <t>Apr</t>
  </si>
  <si>
    <t>Mar</t>
  </si>
  <si>
    <t>Feb</t>
  </si>
  <si>
    <t>Jan</t>
  </si>
  <si>
    <t>Done</t>
  </si>
  <si>
    <t>Year / Month</t>
  </si>
  <si>
    <t>Revenue</t>
  </si>
  <si>
    <t>Eight Acre Lane, Formby</t>
  </si>
  <si>
    <t>PD Plots B Regs F &amp; L - Barratt</t>
  </si>
  <si>
    <t>PD Plots B Regs F &amp; L - David Wilson</t>
  </si>
  <si>
    <t>PD Plots with Future Homes Stds 2025 - Barratt</t>
  </si>
  <si>
    <t>PD Plots with Future Homes Stds 2025 - David Wilson</t>
  </si>
  <si>
    <t>Sales Rate of 3 per month per developer</t>
  </si>
  <si>
    <t>&lt; 1000mm</t>
  </si>
  <si>
    <t>&lt; 550mm</t>
  </si>
  <si>
    <t>&lt;  300mm</t>
  </si>
  <si>
    <t>&lt; 2000mm</t>
  </si>
  <si>
    <t>Tanking</t>
  </si>
  <si>
    <t>9-12 / 13-15</t>
  </si>
  <si>
    <t>&lt; 3000mm</t>
  </si>
  <si>
    <t>26-33 / 34-45</t>
  </si>
  <si>
    <t>58-61 / 51-53</t>
  </si>
  <si>
    <t>Open Space 54-66</t>
  </si>
  <si>
    <t>&lt; 4000mm</t>
  </si>
  <si>
    <t>&lt; 5000mm</t>
  </si>
  <si>
    <t>98-110 / 123-139</t>
  </si>
  <si>
    <t>11-17</t>
  </si>
  <si>
    <t>PCC columns 6 m long</t>
  </si>
  <si>
    <t>Tanking to plots</t>
  </si>
  <si>
    <t>80-102</t>
  </si>
  <si>
    <t>63-69 / 70-77</t>
  </si>
  <si>
    <t>119-131 / 107-116</t>
  </si>
  <si>
    <t>36-46 / 47-58</t>
  </si>
  <si>
    <t>135-146 /147-162</t>
  </si>
  <si>
    <t>180-186 / 192-196</t>
  </si>
  <si>
    <t>218-238 / 246-260</t>
  </si>
  <si>
    <t>262-268 /277-278</t>
  </si>
  <si>
    <t>300-305 / 312-313</t>
  </si>
  <si>
    <t>318-321 / 316-317</t>
  </si>
  <si>
    <t>321-326 / 334-336</t>
  </si>
  <si>
    <t>342-346 /353-339</t>
  </si>
  <si>
    <t>Cost fo wall</t>
  </si>
  <si>
    <t>Rate per face of exposed wall</t>
  </si>
  <si>
    <t>LM</t>
  </si>
  <si>
    <t>O/A rate</t>
  </si>
  <si>
    <t>lm</t>
  </si>
  <si>
    <t>Land drains 2 nr at 150mm diam</t>
  </si>
  <si>
    <t>fence posts - 1.8m centres</t>
  </si>
  <si>
    <t>Install 300mm diam sleeves for 100 x 100</t>
  </si>
  <si>
    <t>Gabion Walls inc stone, mesh, labours</t>
  </si>
  <si>
    <t>Terram</t>
  </si>
  <si>
    <t>used on site</t>
  </si>
  <si>
    <t>C/a arisings(assumed clean)</t>
  </si>
  <si>
    <t>Backfill rear of gabion with site won fill</t>
  </si>
  <si>
    <t>300mm stone to trenches</t>
  </si>
  <si>
    <t>Compact bottoms of excavation</t>
  </si>
  <si>
    <t>Cart spoil to temp spoil heap</t>
  </si>
  <si>
    <t>Exc trench for Gabions</t>
  </si>
  <si>
    <t>Reduce level dig to form rear batter</t>
  </si>
  <si>
    <t>Temporary access</t>
  </si>
  <si>
    <t>Set out works</t>
  </si>
  <si>
    <t>nr</t>
  </si>
  <si>
    <t>Mobilise and demobilise</t>
  </si>
  <si>
    <t>min 125kN bearing capacity</t>
  </si>
  <si>
    <t>Ground compacted to achieve</t>
  </si>
  <si>
    <t>Backfill rear volume</t>
  </si>
  <si>
    <t>300 stone bed</t>
  </si>
  <si>
    <t>Total Gabion volume</t>
  </si>
  <si>
    <t>Gabion Basket dimensions (1.0m baskets)</t>
  </si>
  <si>
    <t>Gabion Basket dimensions (1.5m baskets)</t>
  </si>
  <si>
    <t>Gabion Basket dimensions (2m baskets)</t>
  </si>
  <si>
    <t>2 nr 150 diam land drains</t>
  </si>
  <si>
    <t>2m</t>
  </si>
  <si>
    <t>Trench Width</t>
  </si>
  <si>
    <t>Trench depth</t>
  </si>
  <si>
    <t>no fines.</t>
  </si>
  <si>
    <t>Lm</t>
  </si>
  <si>
    <t>Wall Depth(ave.)</t>
  </si>
  <si>
    <t>6G 100 - 200mm Gabion Stone</t>
  </si>
  <si>
    <t>1.5m</t>
  </si>
  <si>
    <t>Wall Height inc below ground</t>
  </si>
  <si>
    <t>gabion fill material to comply with</t>
  </si>
  <si>
    <t>Face</t>
  </si>
  <si>
    <t>Face of wall above ground</t>
  </si>
  <si>
    <t>3m</t>
  </si>
  <si>
    <t>Wall length</t>
  </si>
  <si>
    <t>over top of gabions</t>
  </si>
  <si>
    <t>1m</t>
  </si>
  <si>
    <t>Wall height above ground</t>
  </si>
  <si>
    <t>terram sheeting to lap up rear and</t>
  </si>
  <si>
    <t xml:space="preserve">Input </t>
  </si>
  <si>
    <t>WALLS 3 M ABOVE GROUND</t>
  </si>
  <si>
    <t>Input dimensions below:</t>
  </si>
  <si>
    <t>As won backfill</t>
  </si>
  <si>
    <t>200mm dia socket for fencing</t>
  </si>
  <si>
    <t>Retaining requirements</t>
  </si>
  <si>
    <t>4mm dia zinc coated mesh gabion baskets filled with stone</t>
  </si>
  <si>
    <t xml:space="preserve"> </t>
  </si>
  <si>
    <t>Gabion Wall - Calculator</t>
  </si>
  <si>
    <t>WALLS 2M ABOVE GROUND</t>
  </si>
  <si>
    <t>WALLS 4 M ABOVE GROUND</t>
  </si>
  <si>
    <t>WALLS 5 M ABOVE GROUND</t>
  </si>
  <si>
    <t>Face not exceeding 2.00m high</t>
  </si>
  <si>
    <t>Face not exceeding 3.00m high</t>
  </si>
  <si>
    <t>Face not exceeding 4.00m high</t>
  </si>
  <si>
    <t>Face not exceeding 5.00m high</t>
  </si>
  <si>
    <t>Gabion Walls - see rate build up</t>
  </si>
  <si>
    <t>Allowance for Heave due to tree roots  10% of dwellings</t>
  </si>
  <si>
    <t>Drawing : Planning Layout Full - H8544-BAH-XX-XX-DR-XXX-203001 _ Rev 001 01 Feb 24</t>
  </si>
  <si>
    <t>GRAND TOTAL</t>
  </si>
  <si>
    <t>SUB TOTAL</t>
  </si>
  <si>
    <t>SG</t>
  </si>
  <si>
    <t>Single Detached</t>
  </si>
  <si>
    <t>DG</t>
  </si>
  <si>
    <t>Single Integral</t>
  </si>
  <si>
    <t>Parking Space</t>
  </si>
  <si>
    <t>DAVID WILSON</t>
  </si>
  <si>
    <t>Floor Area</t>
  </si>
  <si>
    <t>Qty</t>
  </si>
  <si>
    <t>Garage Type</t>
  </si>
  <si>
    <t>Storeys</t>
  </si>
  <si>
    <t>Sales Name</t>
  </si>
  <si>
    <t>TROWS ROCHDALE</t>
  </si>
  <si>
    <t>Barratt - Classic</t>
  </si>
  <si>
    <t>Barratt - Contemporary</t>
  </si>
  <si>
    <t>Strip</t>
  </si>
  <si>
    <t>P</t>
  </si>
  <si>
    <t>V</t>
  </si>
  <si>
    <t>T</t>
  </si>
  <si>
    <t>Trench Fill</t>
  </si>
  <si>
    <t>Barratt B - Classic</t>
  </si>
  <si>
    <t>Barratt C - Classic</t>
  </si>
  <si>
    <t>Part F, L &amp; O</t>
  </si>
  <si>
    <t>Form attenuation basin 4 - SE parcel</t>
  </si>
  <si>
    <t>Form attenuation basin 5 - SE parcel</t>
  </si>
  <si>
    <t>3,265 m3 storage</t>
  </si>
  <si>
    <t>1,600 m3 storage</t>
  </si>
  <si>
    <t>2,407 m3 storage</t>
  </si>
  <si>
    <t>Form attenuation basin 1,2 &amp; 3 - SE parcel</t>
  </si>
  <si>
    <t xml:space="preserve">Form Swale 1,2 &amp; 3 </t>
  </si>
  <si>
    <t>Ver - 6</t>
  </si>
  <si>
    <t>N224 XEH7</t>
  </si>
  <si>
    <t>N224 XI-7</t>
  </si>
  <si>
    <t>YH50 X0HE</t>
  </si>
  <si>
    <t>YH50 X0-I</t>
  </si>
  <si>
    <t>YH52 X0HE</t>
  </si>
  <si>
    <t>YH52 X0-I</t>
  </si>
  <si>
    <t>N382 XEH7</t>
  </si>
  <si>
    <t>N382 XI-7</t>
  </si>
  <si>
    <t>N341 XDG7</t>
  </si>
  <si>
    <t>N341 XEG7</t>
  </si>
  <si>
    <t>N319 XEG7</t>
  </si>
  <si>
    <t>N403 X-G7</t>
  </si>
  <si>
    <t>N431 X-H7</t>
  </si>
  <si>
    <t>N411 X-H7</t>
  </si>
  <si>
    <t>N442 X-H7</t>
  </si>
  <si>
    <t>N417 X-H7</t>
  </si>
  <si>
    <t>N408 X-H7</t>
  </si>
  <si>
    <t>N456 X-H7</t>
  </si>
  <si>
    <t>N469 X-H7</t>
  </si>
  <si>
    <t>Primrose (End)</t>
  </si>
  <si>
    <t>Primrose (Mid)</t>
  </si>
  <si>
    <t>YH50 (End)</t>
  </si>
  <si>
    <t>YH50 (Mid)</t>
  </si>
  <si>
    <t>YH52 (End)</t>
  </si>
  <si>
    <t>YH52 (Mid)</t>
  </si>
  <si>
    <t>Alder (End)</t>
  </si>
  <si>
    <t>Alder (Mid)</t>
  </si>
  <si>
    <t>Foxglove (Det)</t>
  </si>
  <si>
    <t>Foxglove (End)</t>
  </si>
  <si>
    <t>Frampton (End)</t>
  </si>
  <si>
    <t>Hazelborough</t>
  </si>
  <si>
    <t>Hamford</t>
  </si>
  <si>
    <t>Thornhill</t>
  </si>
  <si>
    <t>Winterton</t>
  </si>
  <si>
    <t>Lynford</t>
  </si>
  <si>
    <t>Hepburn</t>
  </si>
  <si>
    <t>Wychwood</t>
  </si>
  <si>
    <t>Culver</t>
  </si>
  <si>
    <t>Sg</t>
  </si>
  <si>
    <t>Type 50 - End</t>
  </si>
  <si>
    <t>Type 52 - End</t>
  </si>
  <si>
    <t>Kew - End</t>
  </si>
  <si>
    <t>Kew - Mid</t>
  </si>
  <si>
    <t>Newby</t>
  </si>
  <si>
    <t>Mewstone - End</t>
  </si>
  <si>
    <t>Mewstone - Mid</t>
  </si>
  <si>
    <t>Matlock - End</t>
  </si>
  <si>
    <t>Martham - End</t>
  </si>
  <si>
    <t>Martham</t>
  </si>
  <si>
    <t xml:space="preserve">Redford </t>
  </si>
  <si>
    <t>Willow</t>
  </si>
  <si>
    <t>Knightwood  - End</t>
  </si>
  <si>
    <t>Harlow</t>
  </si>
  <si>
    <t xml:space="preserve">Allerthorpe </t>
  </si>
  <si>
    <t xml:space="preserve">Linstock </t>
  </si>
  <si>
    <t>BARRATT - Classic</t>
  </si>
  <si>
    <t>BARRATT - Contemporary</t>
  </si>
  <si>
    <t>Type 50 - Mid</t>
  </si>
  <si>
    <t>Type 52 - Mid</t>
  </si>
  <si>
    <t>Holkham</t>
  </si>
  <si>
    <t>Brownstone - End</t>
  </si>
  <si>
    <t>Total Number of Twin Shared Garages</t>
  </si>
  <si>
    <t>Total Number of Single  Garages</t>
  </si>
  <si>
    <t>Sq Ft per Net Acre:</t>
  </si>
  <si>
    <t>N/A</t>
  </si>
  <si>
    <t>Net to Gross Ratio:</t>
  </si>
  <si>
    <t>Housing Density (Per Net Hectare):</t>
  </si>
  <si>
    <t>Housing Density (Per Gross Hectare):</t>
  </si>
  <si>
    <t>Efficiency Calculations</t>
  </si>
  <si>
    <t>5 Beds:</t>
  </si>
  <si>
    <t>4 Beds:</t>
  </si>
  <si>
    <t>Total Sq Ft:</t>
  </si>
  <si>
    <t>3 Beds:</t>
  </si>
  <si>
    <t>2 Beds:</t>
  </si>
  <si>
    <t>Total Dwellings:</t>
  </si>
  <si>
    <t>1 Beds:</t>
  </si>
  <si>
    <t xml:space="preserve"> Bedroom Provision</t>
  </si>
  <si>
    <t>Housing Summary</t>
  </si>
  <si>
    <t>Ancillary Areas (Infrastructure etc):</t>
  </si>
  <si>
    <t>Open Space Provision (including SuDS):</t>
  </si>
  <si>
    <t>Net Development Area:</t>
  </si>
  <si>
    <t>Gross Development Area:</t>
  </si>
  <si>
    <t>Hectares</t>
  </si>
  <si>
    <t>Site Areas</t>
  </si>
  <si>
    <t>Site Summary</t>
  </si>
  <si>
    <t xml:space="preserve">Provision Percentage; </t>
  </si>
  <si>
    <t>Affordable Summary</t>
  </si>
  <si>
    <t>Total Sq Ft</t>
  </si>
  <si>
    <t>Sqm</t>
  </si>
  <si>
    <t>Number</t>
  </si>
  <si>
    <t>Storey Height</t>
  </si>
  <si>
    <t>House Type Code</t>
  </si>
  <si>
    <t>Provision Percentage;</t>
  </si>
  <si>
    <t>Open Market Summary</t>
  </si>
  <si>
    <t>sqm</t>
  </si>
  <si>
    <t>House Type Name</t>
  </si>
  <si>
    <t>Open Market Houses</t>
  </si>
  <si>
    <t>Garages</t>
  </si>
  <si>
    <t>Date: 08-02-24</t>
  </si>
  <si>
    <t>Revision: Planning Layout 01</t>
  </si>
  <si>
    <t>Site Name: Rochdale, Trows Farm</t>
  </si>
  <si>
    <t>Schedule of Accomodation</t>
  </si>
  <si>
    <t>Percentage Part M4(2) Compliant</t>
  </si>
  <si>
    <t>Percentage NDSS Compliant</t>
  </si>
  <si>
    <t>Square Foot / Acre</t>
  </si>
  <si>
    <t>Density (Units per Hectare)</t>
  </si>
  <si>
    <t>Density (Units per Acre)</t>
  </si>
  <si>
    <t>Net Site Area in Acres</t>
  </si>
  <si>
    <t>Open Space &amp; Undevelopable Area in Acres</t>
  </si>
  <si>
    <t>Gross Site Area in Acres</t>
  </si>
  <si>
    <t>Total number of Twin Shared Garages</t>
  </si>
  <si>
    <t>Total number of Single Garages</t>
  </si>
  <si>
    <t>Total number of units and square footage</t>
  </si>
  <si>
    <t>5 Bed Detached</t>
  </si>
  <si>
    <t>3 Bed Detached</t>
  </si>
  <si>
    <t>4 Bed Dual Aspect Detached house</t>
  </si>
  <si>
    <t>4 Bed Town house</t>
  </si>
  <si>
    <t>3 Bed Semi/Mews house Dual Aspec</t>
  </si>
  <si>
    <t>3 Bed Detached Dual Aspec</t>
  </si>
  <si>
    <t>3 Bed Semi/Mews house</t>
  </si>
  <si>
    <t>3 Bed Int.Garage Detached House</t>
  </si>
  <si>
    <t>2 Bed Terraced House</t>
  </si>
  <si>
    <t>3 Bed Terraced House</t>
  </si>
  <si>
    <t>Total Sqft</t>
  </si>
  <si>
    <t>Storey Heights</t>
  </si>
  <si>
    <t>Sqft</t>
  </si>
  <si>
    <t>House Type</t>
  </si>
  <si>
    <t>Garges</t>
  </si>
  <si>
    <t>Barratt  Type</t>
  </si>
  <si>
    <t xml:space="preserve">S C H E D U L E    O F    A C C O M M O D A T I O N </t>
  </si>
  <si>
    <t>BARRATT - CONTEMPORARY PARCEL</t>
  </si>
  <si>
    <t xml:space="preserve">Total number of Twin Garages </t>
  </si>
  <si>
    <t>Total number of Single Garage</t>
  </si>
  <si>
    <t>5 Bedroom Detached</t>
  </si>
  <si>
    <t>4 Bed Dual Aspect Detached House</t>
  </si>
  <si>
    <t>4 Bedroom Int. Garage Detached House</t>
  </si>
  <si>
    <t xml:space="preserve">4 Bed Townhouse </t>
  </si>
  <si>
    <t xml:space="preserve">3 Bed Detached </t>
  </si>
  <si>
    <t xml:space="preserve">3 Bed Detached / Semi Detached Dual Aspect House </t>
  </si>
  <si>
    <t>3 Bed Semi / Mews House</t>
  </si>
  <si>
    <t>3 Bed Detached House</t>
  </si>
  <si>
    <t>BARRATT - CLASSIC PARCEL</t>
  </si>
  <si>
    <t>TOTAL FOUL WATER DRAINAGE</t>
  </si>
  <si>
    <t>It</t>
  </si>
  <si>
    <t>Road Opening Notice</t>
  </si>
  <si>
    <t>Sewer Connection Permits</t>
  </si>
  <si>
    <t>Traffic control</t>
  </si>
  <si>
    <t>M</t>
  </si>
  <si>
    <t>E/O sewers in existing road</t>
  </si>
  <si>
    <t>Foam Concrete fill</t>
  </si>
  <si>
    <t>Air release valve</t>
  </si>
  <si>
    <t>Ducting between valve chamber &amp; kiosk</t>
  </si>
  <si>
    <t>KIOSK BASE</t>
  </si>
  <si>
    <t>Duct box</t>
  </si>
  <si>
    <t>Drilling core holes for Box Outs…</t>
  </si>
  <si>
    <t>Ring Main and Connection Existing</t>
  </si>
  <si>
    <t>Retractable Ladder Fix Only</t>
  </si>
  <si>
    <t>Davit Socket FIX ONLY</t>
  </si>
  <si>
    <t>Flap Valve FIX ONLY</t>
  </si>
  <si>
    <t>Baffle Plate and Pemstocks over Inlets FIX ONLY</t>
  </si>
  <si>
    <t>Special Cover Slab for Wet Well 400 thick as drawing</t>
  </si>
  <si>
    <t>Thrust blocks</t>
  </si>
  <si>
    <t>Valve Chamber</t>
  </si>
  <si>
    <t>100mm ID HDPE rising main ( Black ) fusion jointed approx depth 1.2m</t>
  </si>
  <si>
    <t>Pump station compound</t>
  </si>
  <si>
    <t>Pump station Wet Well</t>
  </si>
  <si>
    <t>Pump station &amp; equipment</t>
  </si>
  <si>
    <t>Break into extg. Manhole &amp; connect pipe</t>
  </si>
  <si>
    <t>Additional Sewer Items</t>
  </si>
  <si>
    <t>E/O I/C connections over 6.5m</t>
  </si>
  <si>
    <t>House I/C &amp; connections</t>
  </si>
  <si>
    <t>House I/C</t>
  </si>
  <si>
    <t>F215a</t>
  </si>
  <si>
    <t>F214a</t>
  </si>
  <si>
    <t>F145a</t>
  </si>
  <si>
    <t>F144a</t>
  </si>
  <si>
    <t>F121a</t>
  </si>
  <si>
    <t>F107a</t>
  </si>
  <si>
    <t>F106a</t>
  </si>
  <si>
    <t>F242</t>
  </si>
  <si>
    <t>F241</t>
  </si>
  <si>
    <t>F240</t>
  </si>
  <si>
    <t>F239</t>
  </si>
  <si>
    <t>F238</t>
  </si>
  <si>
    <t>F237</t>
  </si>
  <si>
    <t>F234</t>
  </si>
  <si>
    <t>F233</t>
  </si>
  <si>
    <t>F232</t>
  </si>
  <si>
    <t>F231</t>
  </si>
  <si>
    <t>F229</t>
  </si>
  <si>
    <t>F228</t>
  </si>
  <si>
    <t>F227</t>
  </si>
  <si>
    <t>F225</t>
  </si>
  <si>
    <t>F224</t>
  </si>
  <si>
    <t>F223</t>
  </si>
  <si>
    <t>F221</t>
  </si>
  <si>
    <t>F218</t>
  </si>
  <si>
    <t>F217</t>
  </si>
  <si>
    <t>F216</t>
  </si>
  <si>
    <t>F215</t>
  </si>
  <si>
    <t>F214</t>
  </si>
  <si>
    <t>F213</t>
  </si>
  <si>
    <t>F211</t>
  </si>
  <si>
    <t>F210</t>
  </si>
  <si>
    <t>F209</t>
  </si>
  <si>
    <t>F207</t>
  </si>
  <si>
    <t>F206</t>
  </si>
  <si>
    <t>F205</t>
  </si>
  <si>
    <t>F204</t>
  </si>
  <si>
    <t>F203</t>
  </si>
  <si>
    <t>F202</t>
  </si>
  <si>
    <t>F201</t>
  </si>
  <si>
    <t>F149</t>
  </si>
  <si>
    <t>F148</t>
  </si>
  <si>
    <t>F145</t>
  </si>
  <si>
    <t>F144</t>
  </si>
  <si>
    <t>F142</t>
  </si>
  <si>
    <t>F141</t>
  </si>
  <si>
    <t>F138</t>
  </si>
  <si>
    <t>F137</t>
  </si>
  <si>
    <t>F136</t>
  </si>
  <si>
    <t>F135</t>
  </si>
  <si>
    <t>F134</t>
  </si>
  <si>
    <t>F133</t>
  </si>
  <si>
    <t>F132</t>
  </si>
  <si>
    <t>F131</t>
  </si>
  <si>
    <t>F130</t>
  </si>
  <si>
    <t>F128</t>
  </si>
  <si>
    <t>F127</t>
  </si>
  <si>
    <t>F126</t>
  </si>
  <si>
    <t>F123</t>
  </si>
  <si>
    <t>F122</t>
  </si>
  <si>
    <t>F121</t>
  </si>
  <si>
    <t>F120</t>
  </si>
  <si>
    <t>F119</t>
  </si>
  <si>
    <t>F118</t>
  </si>
  <si>
    <t>F117</t>
  </si>
  <si>
    <t>F116</t>
  </si>
  <si>
    <t>F115</t>
  </si>
  <si>
    <t>F114</t>
  </si>
  <si>
    <t>F113</t>
  </si>
  <si>
    <t>F112</t>
  </si>
  <si>
    <t>F111</t>
  </si>
  <si>
    <t>F110</t>
  </si>
  <si>
    <t>F109</t>
  </si>
  <si>
    <t>F108</t>
  </si>
  <si>
    <t>F107</t>
  </si>
  <si>
    <t>F106</t>
  </si>
  <si>
    <t>F105</t>
  </si>
  <si>
    <t>F104</t>
  </si>
  <si>
    <t>F103</t>
  </si>
  <si>
    <t>F102</t>
  </si>
  <si>
    <t>F101</t>
  </si>
  <si>
    <t>F61</t>
  </si>
  <si>
    <t>F39</t>
  </si>
  <si>
    <t>Sub-Total</t>
  </si>
  <si>
    <t>Foul Water Manholes</t>
  </si>
  <si>
    <t>Rocker Pipe</t>
  </si>
  <si>
    <t>F224 To F223</t>
  </si>
  <si>
    <t>F225 To F224</t>
  </si>
  <si>
    <t>F227 To F225</t>
  </si>
  <si>
    <t>F228 To F227</t>
  </si>
  <si>
    <t>F229 To F228</t>
  </si>
  <si>
    <t>F234 To F229</t>
  </si>
  <si>
    <t>F202 To F201</t>
  </si>
  <si>
    <t>F203 To F202</t>
  </si>
  <si>
    <t>F204 To F203</t>
  </si>
  <si>
    <t>F205 To F204</t>
  </si>
  <si>
    <t>F206 To F205</t>
  </si>
  <si>
    <t>F207 To F206</t>
  </si>
  <si>
    <t>F39 To F207</t>
  </si>
  <si>
    <t>F231 To F39</t>
  </si>
  <si>
    <t>F232 To F231</t>
  </si>
  <si>
    <t>F233 To F232</t>
  </si>
  <si>
    <t>F234 To F233</t>
  </si>
  <si>
    <t>F237 To F234</t>
  </si>
  <si>
    <t>F210 To F209</t>
  </si>
  <si>
    <t>F211 To F210</t>
  </si>
  <si>
    <t>F221 To F211</t>
  </si>
  <si>
    <t>F237 To F221</t>
  </si>
  <si>
    <t>F240 To F237</t>
  </si>
  <si>
    <t>F239 To F240</t>
  </si>
  <si>
    <t>F217 To F218</t>
  </si>
  <si>
    <t>F214a To F215a</t>
  </si>
  <si>
    <t>F213 To F214a</t>
  </si>
  <si>
    <t>F214 To F213</t>
  </si>
  <si>
    <t>F215 To F214</t>
  </si>
  <si>
    <t>F216 To F215</t>
  </si>
  <si>
    <t>F217 To F216</t>
  </si>
  <si>
    <t>F237 To F217</t>
  </si>
  <si>
    <t>F238 To F237</t>
  </si>
  <si>
    <t>F239 To F238</t>
  </si>
  <si>
    <t>F241 To F239</t>
  </si>
  <si>
    <t>F242 To F241</t>
  </si>
  <si>
    <t>F109 To F108</t>
  </si>
  <si>
    <t>F103 To F102</t>
  </si>
  <si>
    <t>F104 To F103</t>
  </si>
  <si>
    <t>F132 To F101</t>
  </si>
  <si>
    <t>F133 To F132</t>
  </si>
  <si>
    <t>F134 To F133</t>
  </si>
  <si>
    <t>F135 To F134</t>
  </si>
  <si>
    <t>F136 To F135</t>
  </si>
  <si>
    <t>F110 To F109</t>
  </si>
  <si>
    <t>F105 To F104</t>
  </si>
  <si>
    <t>F137 To F136</t>
  </si>
  <si>
    <t>F111 To F110</t>
  </si>
  <si>
    <t>F112 To F111</t>
  </si>
  <si>
    <t>F119 To F112</t>
  </si>
  <si>
    <t>F106a To F105</t>
  </si>
  <si>
    <t>F106 To F106a</t>
  </si>
  <si>
    <t>F107 To F106</t>
  </si>
  <si>
    <t>F107a To F107</t>
  </si>
  <si>
    <t>F122 To F107a</t>
  </si>
  <si>
    <t>F138 To F137</t>
  </si>
  <si>
    <t>F141 To F138</t>
  </si>
  <si>
    <t>F142 To F141</t>
  </si>
  <si>
    <t>F144 To F142</t>
  </si>
  <si>
    <t>F144a To F144</t>
  </si>
  <si>
    <t>F145 To F144a</t>
  </si>
  <si>
    <t>F114 To F113</t>
  </si>
  <si>
    <t>F115 To F114</t>
  </si>
  <si>
    <t>F116 To F115</t>
  </si>
  <si>
    <t>F117 To F116</t>
  </si>
  <si>
    <t>F118 To F117</t>
  </si>
  <si>
    <t>F119 To F118</t>
  </si>
  <si>
    <t>F120 To F119</t>
  </si>
  <si>
    <t>F121 To F120</t>
  </si>
  <si>
    <t>F122 To F121</t>
  </si>
  <si>
    <t>F123 To F122</t>
  </si>
  <si>
    <t>F123 To F121a</t>
  </si>
  <si>
    <t>F145 To F123</t>
  </si>
  <si>
    <t>F145 To F145a</t>
  </si>
  <si>
    <t>F132 To F145</t>
  </si>
  <si>
    <t>F131 To F132</t>
  </si>
  <si>
    <t>F127 To F126</t>
  </si>
  <si>
    <t>F128 To F127</t>
  </si>
  <si>
    <t>F61 To F128</t>
  </si>
  <si>
    <t>F130 To F61</t>
  </si>
  <si>
    <t>F131 To F130</t>
  </si>
  <si>
    <t>F148 To F131</t>
  </si>
  <si>
    <t>F149 To F148</t>
  </si>
  <si>
    <t>Foul Water Sewers - Incl. Rockers</t>
  </si>
  <si>
    <t>SEWERS</t>
  </si>
  <si>
    <t>H8544-BAH-XX-XX-DR-CE-300001-P03-Preliminary Engineering Layout &amp; H8544-BAH-XX-XX-DR-CE-300002-P04-Preliminary Engineering Layout</t>
  </si>
  <si>
    <t>TOTAL SURFACE WATER DRAINAGE</t>
  </si>
  <si>
    <t>Supply &amp; fix hydrobreake</t>
  </si>
  <si>
    <t>Outfall Headwall</t>
  </si>
  <si>
    <t>E/O Gully connections over 6.5m</t>
  </si>
  <si>
    <t>Road gully &amp; connections</t>
  </si>
  <si>
    <t>Gullies - Incl. Junctions</t>
  </si>
  <si>
    <t>HW</t>
  </si>
  <si>
    <t>SIL7</t>
  </si>
  <si>
    <t>SIL6</t>
  </si>
  <si>
    <t>SIL5</t>
  </si>
  <si>
    <t>SIL4</t>
  </si>
  <si>
    <t>SIL3</t>
  </si>
  <si>
    <t>SIL2</t>
  </si>
  <si>
    <t>SIL1</t>
  </si>
  <si>
    <t>SHW6</t>
  </si>
  <si>
    <t>SHW5</t>
  </si>
  <si>
    <t>SHW4</t>
  </si>
  <si>
    <t>SHW3</t>
  </si>
  <si>
    <t>SHW2</t>
  </si>
  <si>
    <t>SHW1</t>
  </si>
  <si>
    <t>S244A</t>
  </si>
  <si>
    <t>S221A</t>
  </si>
  <si>
    <t>S152A</t>
  </si>
  <si>
    <t>S142A</t>
  </si>
  <si>
    <t>S118A</t>
  </si>
  <si>
    <t>S112A</t>
  </si>
  <si>
    <t>S104A</t>
  </si>
  <si>
    <t>S279</t>
  </si>
  <si>
    <t>S274</t>
  </si>
  <si>
    <t>S273</t>
  </si>
  <si>
    <t>S272</t>
  </si>
  <si>
    <t>S271</t>
  </si>
  <si>
    <t>S270</t>
  </si>
  <si>
    <t>S269</t>
  </si>
  <si>
    <t>S268</t>
  </si>
  <si>
    <t>S265</t>
  </si>
  <si>
    <t>S264</t>
  </si>
  <si>
    <t>S263</t>
  </si>
  <si>
    <t>S262</t>
  </si>
  <si>
    <t>S260</t>
  </si>
  <si>
    <t>S259</t>
  </si>
  <si>
    <t>S257</t>
  </si>
  <si>
    <t>S255</t>
  </si>
  <si>
    <t>S254</t>
  </si>
  <si>
    <t>S253</t>
  </si>
  <si>
    <t>S252</t>
  </si>
  <si>
    <t>S251</t>
  </si>
  <si>
    <t>S250</t>
  </si>
  <si>
    <t>S246</t>
  </si>
  <si>
    <t>S245</t>
  </si>
  <si>
    <t>S244</t>
  </si>
  <si>
    <t>S242</t>
  </si>
  <si>
    <t>S241</t>
  </si>
  <si>
    <t>S240</t>
  </si>
  <si>
    <t>S239</t>
  </si>
  <si>
    <t>S238</t>
  </si>
  <si>
    <t>S237</t>
  </si>
  <si>
    <t>S236</t>
  </si>
  <si>
    <t>S235</t>
  </si>
  <si>
    <t>S234</t>
  </si>
  <si>
    <t>S233</t>
  </si>
  <si>
    <t>S232</t>
  </si>
  <si>
    <t>S231</t>
  </si>
  <si>
    <t>S230</t>
  </si>
  <si>
    <t>S223</t>
  </si>
  <si>
    <t>S221</t>
  </si>
  <si>
    <t>S219</t>
  </si>
  <si>
    <t>S218</t>
  </si>
  <si>
    <t>S216</t>
  </si>
  <si>
    <t>S214</t>
  </si>
  <si>
    <t>S213</t>
  </si>
  <si>
    <t>S212</t>
  </si>
  <si>
    <t>S211</t>
  </si>
  <si>
    <t>S210</t>
  </si>
  <si>
    <t>S208</t>
  </si>
  <si>
    <t>S207</t>
  </si>
  <si>
    <t>S206</t>
  </si>
  <si>
    <t>S205</t>
  </si>
  <si>
    <t>S204</t>
  </si>
  <si>
    <t>S203</t>
  </si>
  <si>
    <t>S202</t>
  </si>
  <si>
    <t>S201</t>
  </si>
  <si>
    <t>S200</t>
  </si>
  <si>
    <t>S152</t>
  </si>
  <si>
    <t>S151</t>
  </si>
  <si>
    <t>S150</t>
  </si>
  <si>
    <t>S149</t>
  </si>
  <si>
    <t>S148</t>
  </si>
  <si>
    <t>S147</t>
  </si>
  <si>
    <t>S143</t>
  </si>
  <si>
    <t>S142</t>
  </si>
  <si>
    <t>S140</t>
  </si>
  <si>
    <t>S139</t>
  </si>
  <si>
    <t>S138</t>
  </si>
  <si>
    <t>S137</t>
  </si>
  <si>
    <t>S136</t>
  </si>
  <si>
    <t>S135</t>
  </si>
  <si>
    <t>S134</t>
  </si>
  <si>
    <t>S133</t>
  </si>
  <si>
    <t>S132</t>
  </si>
  <si>
    <t>S131</t>
  </si>
  <si>
    <t>S130</t>
  </si>
  <si>
    <t>S129</t>
  </si>
  <si>
    <t>S128</t>
  </si>
  <si>
    <t>S127</t>
  </si>
  <si>
    <t>S126</t>
  </si>
  <si>
    <t>S125</t>
  </si>
  <si>
    <t>S124</t>
  </si>
  <si>
    <t>S122</t>
  </si>
  <si>
    <t>S121</t>
  </si>
  <si>
    <t>S120</t>
  </si>
  <si>
    <t>S119</t>
  </si>
  <si>
    <t>S118</t>
  </si>
  <si>
    <t>S117</t>
  </si>
  <si>
    <t>S116</t>
  </si>
  <si>
    <t>S115</t>
  </si>
  <si>
    <t>S114</t>
  </si>
  <si>
    <t>S113</t>
  </si>
  <si>
    <t>S112</t>
  </si>
  <si>
    <t>S111</t>
  </si>
  <si>
    <t>S110</t>
  </si>
  <si>
    <t>S109</t>
  </si>
  <si>
    <t>Surface Water Manholes</t>
  </si>
  <si>
    <t>SIL6 To S279</t>
  </si>
  <si>
    <t>SIL5 To S232</t>
  </si>
  <si>
    <t>SIL4 To S147</t>
  </si>
  <si>
    <t>SIL3 To S212</t>
  </si>
  <si>
    <t>SIL3 To S142A</t>
  </si>
  <si>
    <t>SIL1 To S126</t>
  </si>
  <si>
    <t>SHW6 To S103</t>
  </si>
  <si>
    <t>SHW4 To S110</t>
  </si>
  <si>
    <t>SHW4 To SHW5</t>
  </si>
  <si>
    <t>SHW2 To S207</t>
  </si>
  <si>
    <t>SHW2 To SHW3</t>
  </si>
  <si>
    <t>S142A To S142</t>
  </si>
  <si>
    <t>S118A To S118</t>
  </si>
  <si>
    <t>S112A To S111</t>
  </si>
  <si>
    <t>S274 To S273</t>
  </si>
  <si>
    <t>S273 To S272</t>
  </si>
  <si>
    <t>S272 To S271</t>
  </si>
  <si>
    <t>S271 To SIL7</t>
  </si>
  <si>
    <t>S270 To S269</t>
  </si>
  <si>
    <t>S269 To S268</t>
  </si>
  <si>
    <t>S268 To S265</t>
  </si>
  <si>
    <t>S268 To S250</t>
  </si>
  <si>
    <t>S265 To S264</t>
  </si>
  <si>
    <t>S265 To S260</t>
  </si>
  <si>
    <t>S264 To S263</t>
  </si>
  <si>
    <t>S263 To S262</t>
  </si>
  <si>
    <t>S262 To S230</t>
  </si>
  <si>
    <t>S260 To S259</t>
  </si>
  <si>
    <t>S259 To S257</t>
  </si>
  <si>
    <t>S257 To S255</t>
  </si>
  <si>
    <t>S255 To S254</t>
  </si>
  <si>
    <t>S254 To S253</t>
  </si>
  <si>
    <t>S253 To S252</t>
  </si>
  <si>
    <t>S252 To S251</t>
  </si>
  <si>
    <t>S250 To S246</t>
  </si>
  <si>
    <t>S246 To S245</t>
  </si>
  <si>
    <t>S245 To S244</t>
  </si>
  <si>
    <t>S244 To S244A</t>
  </si>
  <si>
    <t>S242 To S241</t>
  </si>
  <si>
    <t>S241 To S239</t>
  </si>
  <si>
    <t>S240 To S208</t>
  </si>
  <si>
    <t>S239 To S238</t>
  </si>
  <si>
    <t>S238 To S237</t>
  </si>
  <si>
    <t>S237 To S236</t>
  </si>
  <si>
    <t>S236 To S235</t>
  </si>
  <si>
    <t>S235 To S234</t>
  </si>
  <si>
    <t>S234 To S233</t>
  </si>
  <si>
    <t>S232 To S231</t>
  </si>
  <si>
    <t>S231 To S230</t>
  </si>
  <si>
    <t>S230 To S242</t>
  </si>
  <si>
    <t>S230 To S223</t>
  </si>
  <si>
    <t>S223 To S221</t>
  </si>
  <si>
    <t>S221 To S221A</t>
  </si>
  <si>
    <t>S219 To S218</t>
  </si>
  <si>
    <t>S216 To S214</t>
  </si>
  <si>
    <t>S214 To S219</t>
  </si>
  <si>
    <t>S213 To S212</t>
  </si>
  <si>
    <t>S213 To SHW1</t>
  </si>
  <si>
    <t>S212 To S216</t>
  </si>
  <si>
    <t>S212 To S211</t>
  </si>
  <si>
    <t>S211 To S210</t>
  </si>
  <si>
    <t>S210 To S240</t>
  </si>
  <si>
    <t>S207 To S206</t>
  </si>
  <si>
    <t>S206 To S205</t>
  </si>
  <si>
    <t>S205 To S204</t>
  </si>
  <si>
    <t>S204 To S203</t>
  </si>
  <si>
    <t>S203 To S202</t>
  </si>
  <si>
    <t>S201 To S202</t>
  </si>
  <si>
    <t>S200 To S201</t>
  </si>
  <si>
    <t>S152 To S152A</t>
  </si>
  <si>
    <t>S151 To S152</t>
  </si>
  <si>
    <t>S150 To S151</t>
  </si>
  <si>
    <t>S149 To S150</t>
  </si>
  <si>
    <t>S148 To S149</t>
  </si>
  <si>
    <t>S147 To S148</t>
  </si>
  <si>
    <t>S142 To S213</t>
  </si>
  <si>
    <t>S140 To SIL2</t>
  </si>
  <si>
    <t>S139 To S140</t>
  </si>
  <si>
    <t>S138 To S139</t>
  </si>
  <si>
    <t>S137 To S138</t>
  </si>
  <si>
    <t>S136 To S137</t>
  </si>
  <si>
    <t>S135 To S136</t>
  </si>
  <si>
    <t>S134 To S135</t>
  </si>
  <si>
    <t>S133 To S134</t>
  </si>
  <si>
    <t>S132 To S133</t>
  </si>
  <si>
    <t>S131 To S132</t>
  </si>
  <si>
    <t>S130 To S131</t>
  </si>
  <si>
    <t>S129 To S130</t>
  </si>
  <si>
    <t>S128 To S129</t>
  </si>
  <si>
    <t>S127 To S128</t>
  </si>
  <si>
    <t>S126 To S125</t>
  </si>
  <si>
    <t>S125 To S122</t>
  </si>
  <si>
    <t>S125 To S124</t>
  </si>
  <si>
    <t>S124 To S143</t>
  </si>
  <si>
    <t>S122 To S119</t>
  </si>
  <si>
    <t>S122 To S121</t>
  </si>
  <si>
    <t>S121 To S120</t>
  </si>
  <si>
    <t>S119 To S115</t>
  </si>
  <si>
    <t>S119 To S118A</t>
  </si>
  <si>
    <t>S118 To S117</t>
  </si>
  <si>
    <t>S117 To S116</t>
  </si>
  <si>
    <t>S115 To S114</t>
  </si>
  <si>
    <t>S114 To S113</t>
  </si>
  <si>
    <t>S113 To S107</t>
  </si>
  <si>
    <t>S113 To S112</t>
  </si>
  <si>
    <t>S112 To S112A</t>
  </si>
  <si>
    <t>S110 To S109</t>
  </si>
  <si>
    <t>S109 To S108</t>
  </si>
  <si>
    <t>S107 To S106</t>
  </si>
  <si>
    <t>S106 To S104</t>
  </si>
  <si>
    <t>S106 To S105</t>
  </si>
  <si>
    <t>S104 To S104A</t>
  </si>
  <si>
    <t>S103 To S102</t>
  </si>
  <si>
    <t>S102 To S101</t>
  </si>
  <si>
    <t>S101 To S100</t>
  </si>
  <si>
    <t>Surface Water Sewers - Incl. Rockers</t>
  </si>
  <si>
    <t>Extra over cost of 2700mm manhole (1200 std)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</si>
</sst>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6">
    <numFmt numFmtId="7" formatCode="&quot;£&quot;#,##0.00_);\(&quot;£&quot;#,##0.00\)"/>
    <numFmt numFmtId="41" formatCode="_(* #,##0_);_(* \(#,##0\);_(* &quot;-&quot;_);_(@_)"/>
    <numFmt numFmtId="44" formatCode="_(&quot;£&quot;* #,##0.00_);_(&quot;£&quot;* \(#,##0.00\);_(&quot;£&quot;* &quot;-&quot;??_);_(@_)"/>
    <numFmt numFmtId="43" formatCode="_(* #,##0.00_);_(* \(#,##0.00\);_(* &quot;-&quot;??_);_(@_)"/>
    <numFmt numFmtId="164" formatCode="&quot;£&quot;#,##0.00;\-&quot;£&quot;#,##0.00"/>
    <numFmt numFmtId="165" formatCode="_-* #,##0.00_-;\-* #,##0.00_-;_-* &quot;-&quot;??_-;_-@_-"/>
    <numFmt numFmtId="166" formatCode="&quot;£&quot;#,##0.00"/>
    <numFmt numFmtId="167" formatCode="_-* #,##0_-;\-* #,##0_-;_-* &quot;-&quot;??_-;_-@_-"/>
    <numFmt numFmtId="168" formatCode="0.0%"/>
    <numFmt numFmtId="169" formatCode="[$£-452]#,##0.00"/>
    <numFmt numFmtId="170" formatCode="&quot;£&quot;#,##0.00;[Red]\-&quot;£&quot;#,##0.00"/>
    <numFmt numFmtId="171" formatCode="&quot;CIL @&quot;\ &quot;£&quot;#,##0"/>
    <numFmt numFmtId="172" formatCode="_-* #,##0.000_-;\-* #,##0.000_-;_-* &quot;-&quot;??_-;_-@_-"/>
    <numFmt numFmtId="173" formatCode="0.000"/>
    <numFmt numFmtId="174" formatCode="&quot;£&quot;#,##0"/>
    <numFmt numFmtId="175" formatCode="[$-409]d\-mmm\-yy;@"/>
    <numFmt numFmtId="176" formatCode="_(* #,##0_);_(* \(#,##0\);_(* &quot;-&quot;??_);_(@_)"/>
    <numFmt numFmtId="177" formatCode="&quot;£&quot;#,##0;\-&quot;£&quot;#,##0"/>
    <numFmt numFmtId="178" formatCode="_-[$£-809]* #,##0_-;\-[$£-809]* #,##0_-;_-[$£-809]* &quot;-&quot;??_-;_-@_-"/>
    <numFmt numFmtId="179" formatCode="mmm\-yyyy"/>
    <numFmt numFmtId="180" formatCode="###,###,###,##0.0"/>
    <numFmt numFmtId="181" formatCode="###,###,###,##0"/>
    <numFmt numFmtId="182" formatCode="&quot;Indexation @&quot;\ &quot;£&quot;#,##0.##"/>
    <numFmt numFmtId="183" formatCode="_-&quot;£&quot;* #,##0.00_-;\-&quot;£&quot;* #,##0.00_-;_-&quot;£&quot;* &quot;-&quot;??_-;_-@_-"/>
    <numFmt numFmtId="184" formatCode="&quot;£&quot;#,##0;[Red]\-&quot;£&quot;#,##0"/>
    <numFmt numFmtId="185" formatCode="_(&quot;£&quot;* #,##0_);_(&quot;£&quot;* \(#,##0\);_(&quot;£&quot;* &quot;-&quot;??_);_(@_)"/>
  </numFmts>
  <fonts count="80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129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b/>
      <sz val="10"/>
      <color indexed="81"/>
      <name val="Tahoma"/>
      <family val="2"/>
    </font>
    <font>
      <sz val="10"/>
      <color indexed="81"/>
      <name val="Tahoma"/>
      <family val="2"/>
    </font>
    <font>
      <sz val="7"/>
      <name val="Small Fonts"/>
      <family val="2"/>
    </font>
    <font>
      <sz val="10"/>
      <name val="Courier New"/>
      <family val="3"/>
    </font>
    <font>
      <sz val="12"/>
      <color indexed="8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rgb="FF000000"/>
      <name val="Times New Roman"/>
      <family val="1"/>
    </font>
    <font>
      <b/>
      <i/>
      <sz val="18"/>
      <color rgb="FF000000"/>
      <name val="Times New Roman"/>
      <family val="1"/>
    </font>
    <font>
      <b/>
      <i/>
      <sz val="10"/>
      <color rgb="FF000000"/>
      <name val="Times New Roman"/>
      <family val="1"/>
    </font>
    <font>
      <sz val="12"/>
      <color rgb="FF000000"/>
      <name val="Times New Roman"/>
      <family val="1"/>
    </font>
    <font>
      <sz val="10"/>
      <name val="Times New Roman"/>
      <family val="1"/>
    </font>
    <font>
      <b/>
      <i/>
      <sz val="18"/>
      <name val="Times New Roman"/>
      <family val="1"/>
    </font>
    <font>
      <b/>
      <i/>
      <sz val="10"/>
      <name val="Times New Roman"/>
      <family val="1"/>
    </font>
    <font>
      <b/>
      <sz val="24"/>
      <color rgb="FFFF000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0"/>
      <color indexed="10"/>
      <name val="Arial"/>
      <family val="2"/>
    </font>
    <font>
      <i/>
      <sz val="10"/>
      <name val="Arial"/>
      <family val="2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b/>
      <u/>
      <sz val="12"/>
      <name val="Arial"/>
      <family val="2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  <scheme val="minor"/>
    </font>
    <font>
      <sz val="10"/>
      <color rgb="FF002060"/>
      <name val="Arial"/>
      <family val="2"/>
    </font>
    <font>
      <sz val="8"/>
      <color theme="1"/>
      <name val="Verdana"/>
      <family val="2"/>
    </font>
    <font>
      <b/>
      <sz val="10"/>
      <name val="Times New Roman"/>
      <family val="1"/>
    </font>
    <font>
      <sz val="11"/>
      <color theme="1"/>
      <name val="Verdana"/>
      <family val="2"/>
    </font>
    <font>
      <sz val="10"/>
      <color rgb="FF000000"/>
      <name val="Verdana"/>
      <family val="2"/>
    </font>
    <font>
      <sz val="12"/>
      <name val="Verdana"/>
      <family val="2"/>
    </font>
    <font>
      <b/>
      <sz val="11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0"/>
      <color rgb="FFFF0000"/>
      <name val="Arial"/>
      <family val="2"/>
    </font>
    <font>
      <b/>
      <u/>
      <sz val="10"/>
      <name val="Arial"/>
      <family val="2"/>
    </font>
    <font>
      <b/>
      <sz val="16"/>
      <color theme="1"/>
      <name val="Calibri"/>
      <family val="2"/>
      <scheme val="minor"/>
    </font>
    <font>
      <sz val="12"/>
      <color theme="1"/>
      <name val="DINOT-Light"/>
      <family val="3"/>
    </font>
    <font>
      <sz val="11"/>
      <color theme="1"/>
      <name val="DINOT-Light"/>
      <family val="3"/>
    </font>
    <font>
      <sz val="10"/>
      <name val="Arial"/>
      <family val="2"/>
    </font>
    <font>
      <sz val="10"/>
      <name val="Calibri"/>
      <family val="2"/>
      <scheme val="minor"/>
    </font>
    <font>
      <b/>
      <sz val="12"/>
      <color theme="1"/>
      <name val="DINOT-Light"/>
      <family val="3"/>
    </font>
    <font>
      <sz val="12"/>
      <name val="DINOT-Light"/>
      <family val="3"/>
    </font>
    <font>
      <b/>
      <sz val="12"/>
      <color theme="0"/>
      <name val="DINOT-Light"/>
      <family val="3"/>
    </font>
    <font>
      <sz val="12"/>
      <color theme="0"/>
      <name val="DINOT-Medium"/>
      <family val="3"/>
    </font>
    <font>
      <sz val="16"/>
      <color theme="0"/>
      <name val="DINOT-Medium"/>
      <family val="3"/>
    </font>
    <font>
      <b/>
      <sz val="10"/>
      <name val="Calibri"/>
      <family val="2"/>
      <scheme val="minor"/>
    </font>
    <font>
      <sz val="11"/>
      <name val="Arial Narrow"/>
      <family val="2"/>
    </font>
    <font>
      <b/>
      <u/>
      <sz val="11"/>
      <name val="Arial Narrow"/>
      <family val="2"/>
    </font>
    <font>
      <u/>
      <sz val="10"/>
      <name val="Arial Narrow"/>
      <family val="2"/>
    </font>
    <font>
      <b/>
      <u/>
      <sz val="12"/>
      <name val="Calibri"/>
      <family val="2"/>
      <scheme val="minor"/>
    </font>
    <font>
      <sz val="12"/>
      <name val="TIMES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9"/>
      <name val="Calibri"/>
      <family val="2"/>
      <scheme val="minor"/>
    </font>
    <font>
      <sz val="9"/>
      <color rgb="FFFF000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9"/>
        <bgColor indexed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lightUp"/>
    </fill>
    <fill>
      <patternFill patternType="lightGray"/>
    </fill>
    <fill>
      <patternFill patternType="lightGray">
        <fgColor theme="9" tint="-0.499984740745262"/>
        <bgColor indexed="65"/>
      </patternFill>
    </fill>
    <fill>
      <patternFill patternType="lightGray">
        <fgColor theme="9" tint="-0.499984740745262"/>
        <bgColor auto="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C000"/>
        <bgColor indexed="64"/>
      </patternFill>
    </fill>
  </fills>
  <borders count="1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DashDot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DashDot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mediumDashed">
        <color indexed="64"/>
      </top>
      <bottom/>
      <diagonal/>
    </border>
    <border>
      <left/>
      <right style="thin">
        <color auto="1"/>
      </right>
      <top style="mediumDashed">
        <color indexed="64"/>
      </top>
      <bottom style="thin">
        <color auto="1"/>
      </bottom>
      <diagonal/>
    </border>
    <border>
      <left style="thin">
        <color auto="1"/>
      </left>
      <right/>
      <top style="mediumDashed">
        <color indexed="64"/>
      </top>
      <bottom style="thin">
        <color auto="1"/>
      </bottom>
      <diagonal/>
    </border>
    <border>
      <left style="thick">
        <color auto="1"/>
      </left>
      <right/>
      <top style="mediumDashed">
        <color indexed="64"/>
      </top>
      <bottom/>
      <diagonal/>
    </border>
    <border>
      <left style="thick">
        <color rgb="FFFF0000"/>
      </left>
      <right/>
      <top/>
      <bottom style="mediumDashed">
        <color indexed="64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ck">
        <color rgb="FFFF0000"/>
      </right>
      <top/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/>
      <right/>
      <top style="thin">
        <color indexed="64"/>
      </top>
      <bottom/>
      <diagonal/>
    </border>
    <border>
      <left style="thick">
        <color rgb="FF002C4D"/>
      </left>
      <right/>
      <top/>
      <bottom/>
      <diagonal/>
    </border>
    <border>
      <left/>
      <right style="thick">
        <color rgb="FF002C4D"/>
      </right>
      <top/>
      <bottom style="thick">
        <color rgb="FF002C4D"/>
      </bottom>
      <diagonal/>
    </border>
    <border>
      <left/>
      <right/>
      <top/>
      <bottom style="thick">
        <color rgb="FF002C4D"/>
      </bottom>
      <diagonal/>
    </border>
    <border>
      <left style="thick">
        <color rgb="FF002C4D"/>
      </left>
      <right/>
      <top/>
      <bottom style="thick">
        <color rgb="FF002C4D"/>
      </bottom>
      <diagonal/>
    </border>
    <border>
      <left/>
      <right style="thick">
        <color rgb="FF002C4D"/>
      </right>
      <top/>
      <bottom/>
      <diagonal/>
    </border>
    <border>
      <left style="thick">
        <color rgb="FF002C4D"/>
      </left>
      <right/>
      <top style="thin">
        <color auto="1"/>
      </top>
      <bottom/>
      <diagonal/>
    </border>
    <border>
      <left/>
      <right style="thick">
        <color rgb="FF002C4D"/>
      </right>
      <top style="thin">
        <color indexed="64"/>
      </top>
      <bottom style="thin">
        <color indexed="64"/>
      </bottom>
      <diagonal/>
    </border>
    <border>
      <left style="thick">
        <color rgb="FF002C4D"/>
      </left>
      <right/>
      <top style="thin">
        <color indexed="64"/>
      </top>
      <bottom style="thin">
        <color indexed="64"/>
      </bottom>
      <diagonal/>
    </border>
    <border>
      <left/>
      <right style="thick">
        <color rgb="FF002C4D"/>
      </right>
      <top/>
      <bottom style="thin">
        <color auto="1"/>
      </bottom>
      <diagonal/>
    </border>
    <border>
      <left style="thick">
        <color rgb="FF002C4D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ck">
        <color rgb="FF002C4D"/>
      </right>
      <top style="thin">
        <color auto="1"/>
      </top>
      <bottom/>
      <diagonal/>
    </border>
    <border>
      <left style="thin">
        <color auto="1"/>
      </left>
      <right style="thick">
        <color rgb="FF002C4D"/>
      </right>
      <top style="thin">
        <color auto="1"/>
      </top>
      <bottom style="thin">
        <color auto="1"/>
      </bottom>
      <diagonal/>
    </border>
    <border>
      <left/>
      <right style="thick">
        <color rgb="FF002C4D"/>
      </right>
      <top style="thick">
        <color rgb="FF002C4D"/>
      </top>
      <bottom style="thin">
        <color indexed="64"/>
      </bottom>
      <diagonal/>
    </border>
    <border>
      <left/>
      <right/>
      <top style="thick">
        <color rgb="FF002C4D"/>
      </top>
      <bottom style="thin">
        <color indexed="64"/>
      </bottom>
      <diagonal/>
    </border>
    <border>
      <left style="thick">
        <color rgb="FF002C4D"/>
      </left>
      <right/>
      <top style="thick">
        <color rgb="FF002C4D"/>
      </top>
      <bottom style="thin">
        <color indexed="64"/>
      </bottom>
      <diagonal/>
    </border>
    <border>
      <left/>
      <right style="thin">
        <color auto="1"/>
      </right>
      <top/>
      <bottom style="thick">
        <color rgb="FF002C4D"/>
      </bottom>
      <diagonal/>
    </border>
    <border>
      <left style="thick">
        <color rgb="FF002C4D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rgb="FF002C4D"/>
      </right>
      <top style="thick">
        <color rgb="FF002C4D"/>
      </top>
      <bottom/>
      <diagonal/>
    </border>
    <border>
      <left/>
      <right/>
      <top style="thick">
        <color rgb="FF002C4D"/>
      </top>
      <bottom/>
      <diagonal/>
    </border>
    <border>
      <left style="thick">
        <color rgb="FF002C4D"/>
      </left>
      <right/>
      <top style="thick">
        <color rgb="FF002C4D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260">
    <xf numFmtId="0" fontId="0" fillId="0" borderId="0"/>
    <xf numFmtId="165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7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43" fontId="7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5" fillId="0" borderId="0"/>
    <xf numFmtId="165" fontId="15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0" fillId="0" borderId="0"/>
    <xf numFmtId="4" fontId="21" fillId="0" borderId="0" applyFill="0" applyBorder="0" applyProtection="0">
      <alignment horizontal="right" textRotation="255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1" fontId="21" fillId="0" borderId="0" applyFill="0" applyBorder="0" applyProtection="0">
      <alignment horizontal="center" textRotation="255"/>
    </xf>
    <xf numFmtId="4" fontId="21" fillId="0" borderId="0" applyFill="0" applyBorder="0" applyProtection="0">
      <alignment horizontal="center" textRotation="255"/>
      <protection locked="0"/>
    </xf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44" fontId="7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5" fillId="0" borderId="0"/>
    <xf numFmtId="0" fontId="10" fillId="0" borderId="0" applyNumberFormat="0" applyFill="0" applyBorder="0" applyAlignment="0" applyProtection="0"/>
    <xf numFmtId="18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63" fillId="0" borderId="0"/>
    <xf numFmtId="37" fontId="75" fillId="0" borderId="0"/>
    <xf numFmtId="183" fontId="15" fillId="0" borderId="0" applyFont="0" applyFill="0" applyBorder="0" applyAlignment="0" applyProtection="0"/>
    <xf numFmtId="0" fontId="15" fillId="0" borderId="0"/>
  </cellStyleXfs>
  <cellXfs count="1210">
    <xf numFmtId="0" fontId="0" fillId="0" borderId="0" xfId="0"/>
    <xf numFmtId="0" fontId="8" fillId="0" borderId="0" xfId="0" applyFont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165" fontId="0" fillId="0" borderId="0" xfId="1" applyFont="1"/>
    <xf numFmtId="165" fontId="0" fillId="0" borderId="5" xfId="1" applyFont="1" applyBorder="1"/>
    <xf numFmtId="165" fontId="0" fillId="0" borderId="6" xfId="1" applyFont="1" applyBorder="1"/>
    <xf numFmtId="165" fontId="0" fillId="0" borderId="13" xfId="1" applyFont="1" applyBorder="1"/>
    <xf numFmtId="165" fontId="0" fillId="0" borderId="7" xfId="1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11" xfId="0" applyFont="1" applyBorder="1"/>
    <xf numFmtId="165" fontId="0" fillId="0" borderId="0" xfId="1" applyFont="1" applyBorder="1"/>
    <xf numFmtId="167" fontId="0" fillId="0" borderId="0" xfId="1" applyNumberFormat="1" applyFont="1"/>
    <xf numFmtId="165" fontId="0" fillId="0" borderId="14" xfId="1" applyFont="1" applyBorder="1"/>
    <xf numFmtId="165" fontId="0" fillId="0" borderId="12" xfId="1" applyFont="1" applyBorder="1"/>
    <xf numFmtId="9" fontId="0" fillId="0" borderId="0" xfId="2" applyFont="1" applyBorder="1"/>
    <xf numFmtId="165" fontId="0" fillId="0" borderId="12" xfId="0" applyNumberFormat="1" applyBorder="1"/>
    <xf numFmtId="167" fontId="0" fillId="0" borderId="6" xfId="1" applyNumberFormat="1" applyFont="1" applyBorder="1"/>
    <xf numFmtId="0" fontId="0" fillId="0" borderId="11" xfId="0" applyBorder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2" xfId="0" applyBorder="1" applyAlignment="1">
      <alignment vertical="top" wrapText="1"/>
    </xf>
    <xf numFmtId="2" fontId="0" fillId="0" borderId="0" xfId="0" applyNumberFormat="1"/>
    <xf numFmtId="2" fontId="0" fillId="0" borderId="0" xfId="0" applyNumberFormat="1" applyAlignment="1">
      <alignment vertical="top"/>
    </xf>
    <xf numFmtId="165" fontId="0" fillId="0" borderId="0" xfId="1" applyFont="1" applyBorder="1" applyAlignment="1">
      <alignment horizontal="center"/>
    </xf>
    <xf numFmtId="0" fontId="8" fillId="0" borderId="11" xfId="0" applyFont="1" applyBorder="1" applyAlignment="1">
      <alignment vertical="top"/>
    </xf>
    <xf numFmtId="166" fontId="0" fillId="0" borderId="12" xfId="0" applyNumberFormat="1" applyBorder="1"/>
    <xf numFmtId="0" fontId="0" fillId="0" borderId="12" xfId="0" applyBorder="1" applyAlignment="1">
      <alignment vertical="top"/>
    </xf>
    <xf numFmtId="165" fontId="0" fillId="0" borderId="0" xfId="1" applyFont="1" applyBorder="1" applyAlignment="1">
      <alignment vertical="top" wrapText="1"/>
    </xf>
    <xf numFmtId="165" fontId="0" fillId="0" borderId="12" xfId="1" applyFont="1" applyBorder="1" applyAlignment="1">
      <alignment vertical="top" wrapText="1"/>
    </xf>
    <xf numFmtId="165" fontId="0" fillId="0" borderId="0" xfId="1" applyFont="1" applyBorder="1" applyAlignment="1">
      <alignment vertical="top"/>
    </xf>
    <xf numFmtId="165" fontId="0" fillId="0" borderId="12" xfId="1" applyFont="1" applyBorder="1" applyAlignment="1">
      <alignment vertical="top"/>
    </xf>
    <xf numFmtId="165" fontId="0" fillId="0" borderId="0" xfId="1" applyFont="1" applyBorder="1" applyAlignment="1"/>
    <xf numFmtId="165" fontId="0" fillId="0" borderId="12" xfId="1" applyFont="1" applyBorder="1" applyAlignment="1"/>
    <xf numFmtId="0" fontId="0" fillId="0" borderId="11" xfId="0" applyBorder="1" applyAlignment="1">
      <alignment horizontal="left" vertical="top"/>
    </xf>
    <xf numFmtId="0" fontId="0" fillId="0" borderId="0" xfId="0" applyAlignment="1">
      <alignment horizontal="left" vertical="top"/>
    </xf>
    <xf numFmtId="164" fontId="0" fillId="0" borderId="6" xfId="1" applyNumberFormat="1" applyFont="1" applyBorder="1"/>
    <xf numFmtId="165" fontId="8" fillId="0" borderId="16" xfId="1" applyFont="1" applyBorder="1"/>
    <xf numFmtId="168" fontId="0" fillId="0" borderId="0" xfId="2" applyNumberFormat="1" applyFont="1" applyBorder="1" applyAlignment="1">
      <alignment horizontal="center"/>
    </xf>
    <xf numFmtId="0" fontId="8" fillId="0" borderId="0" xfId="0" applyFont="1" applyAlignment="1">
      <alignment horizontal="right"/>
    </xf>
    <xf numFmtId="165" fontId="8" fillId="0" borderId="6" xfId="1" applyFont="1" applyBorder="1"/>
    <xf numFmtId="0" fontId="0" fillId="0" borderId="11" xfId="0" applyBorder="1" applyAlignment="1">
      <alignment horizontal="center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horizontal="left" vertical="top"/>
    </xf>
    <xf numFmtId="169" fontId="8" fillId="0" borderId="0" xfId="1" applyNumberFormat="1" applyFont="1" applyBorder="1"/>
    <xf numFmtId="0" fontId="0" fillId="0" borderId="0" xfId="0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5" xfId="0" applyBorder="1"/>
    <xf numFmtId="0" fontId="8" fillId="0" borderId="1" xfId="0" applyFont="1" applyBorder="1" applyAlignment="1">
      <alignment horizontal="center" vertical="center"/>
    </xf>
    <xf numFmtId="167" fontId="8" fillId="0" borderId="7" xfId="1" applyNumberFormat="1" applyFont="1" applyBorder="1" applyAlignment="1">
      <alignment vertical="center" wrapText="1"/>
    </xf>
    <xf numFmtId="167" fontId="8" fillId="0" borderId="7" xfId="1" applyNumberFormat="1" applyFont="1" applyBorder="1" applyAlignment="1">
      <alignment vertical="center"/>
    </xf>
    <xf numFmtId="167" fontId="8" fillId="0" borderId="1" xfId="1" applyNumberFormat="1" applyFont="1" applyBorder="1" applyAlignment="1">
      <alignment vertical="center"/>
    </xf>
    <xf numFmtId="0" fontId="0" fillId="0" borderId="7" xfId="0" applyBorder="1"/>
    <xf numFmtId="165" fontId="0" fillId="0" borderId="11" xfId="0" applyNumberFormat="1" applyBorder="1"/>
    <xf numFmtId="165" fontId="8" fillId="0" borderId="0" xfId="1" applyFont="1" applyBorder="1"/>
    <xf numFmtId="169" fontId="7" fillId="0" borderId="0" xfId="1" applyNumberFormat="1" applyFont="1" applyBorder="1"/>
    <xf numFmtId="165" fontId="7" fillId="0" borderId="0" xfId="1" applyFont="1" applyBorder="1"/>
    <xf numFmtId="43" fontId="0" fillId="0" borderId="0" xfId="0" applyNumberFormat="1"/>
    <xf numFmtId="165" fontId="7" fillId="0" borderId="0" xfId="1" applyFont="1"/>
    <xf numFmtId="165" fontId="0" fillId="0" borderId="0" xfId="1" applyFont="1" applyFill="1"/>
    <xf numFmtId="167" fontId="0" fillId="0" borderId="0" xfId="1" applyNumberFormat="1" applyFont="1" applyAlignment="1">
      <alignment horizontal="center"/>
    </xf>
    <xf numFmtId="0" fontId="0" fillId="0" borderId="0" xfId="0" applyAlignment="1">
      <alignment horizontal="center"/>
    </xf>
    <xf numFmtId="0" fontId="12" fillId="0" borderId="0" xfId="0" applyFont="1"/>
    <xf numFmtId="0" fontId="14" fillId="0" borderId="0" xfId="0" applyFont="1"/>
    <xf numFmtId="165" fontId="0" fillId="0" borderId="22" xfId="1" applyFont="1" applyBorder="1"/>
    <xf numFmtId="0" fontId="15" fillId="0" borderId="0" xfId="102"/>
    <xf numFmtId="0" fontId="5" fillId="0" borderId="0" xfId="204"/>
    <xf numFmtId="0" fontId="13" fillId="0" borderId="0" xfId="204" applyFont="1"/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165" fontId="8" fillId="0" borderId="0" xfId="1" applyFont="1"/>
    <xf numFmtId="172" fontId="8" fillId="0" borderId="0" xfId="1" applyNumberFormat="1" applyFont="1"/>
    <xf numFmtId="172" fontId="7" fillId="0" borderId="0" xfId="1" applyNumberFormat="1" applyFont="1"/>
    <xf numFmtId="172" fontId="0" fillId="0" borderId="0" xfId="1" applyNumberFormat="1" applyFont="1"/>
    <xf numFmtId="43" fontId="8" fillId="0" borderId="0" xfId="0" applyNumberFormat="1" applyFont="1"/>
    <xf numFmtId="165" fontId="0" fillId="0" borderId="0" xfId="0" applyNumberFormat="1"/>
    <xf numFmtId="0" fontId="0" fillId="6" borderId="0" xfId="0" applyFill="1"/>
    <xf numFmtId="0" fontId="0" fillId="6" borderId="0" xfId="0" applyFill="1" applyAlignment="1">
      <alignment horizontal="left"/>
    </xf>
    <xf numFmtId="0" fontId="0" fillId="6" borderId="0" xfId="0" applyFill="1" applyAlignment="1">
      <alignment horizontal="center"/>
    </xf>
    <xf numFmtId="0" fontId="16" fillId="6" borderId="0" xfId="0" applyFont="1" applyFill="1"/>
    <xf numFmtId="14" fontId="16" fillId="6" borderId="0" xfId="0" applyNumberFormat="1" applyFont="1" applyFill="1" applyAlignment="1">
      <alignment horizontal="left"/>
    </xf>
    <xf numFmtId="0" fontId="16" fillId="6" borderId="1" xfId="0" applyFont="1" applyFill="1" applyBorder="1"/>
    <xf numFmtId="0" fontId="16" fillId="6" borderId="0" xfId="0" applyFont="1" applyFill="1" applyAlignment="1">
      <alignment horizontal="center"/>
    </xf>
    <xf numFmtId="0" fontId="16" fillId="6" borderId="8" xfId="0" applyFont="1" applyFill="1" applyBorder="1" applyAlignment="1">
      <alignment horizontal="center"/>
    </xf>
    <xf numFmtId="0" fontId="16" fillId="6" borderId="9" xfId="0" applyFont="1" applyFill="1" applyBorder="1" applyAlignment="1">
      <alignment horizontal="center"/>
    </xf>
    <xf numFmtId="0" fontId="16" fillId="6" borderId="10" xfId="0" applyFont="1" applyFill="1" applyBorder="1" applyAlignment="1">
      <alignment horizontal="center"/>
    </xf>
    <xf numFmtId="0" fontId="16" fillId="6" borderId="5" xfId="0" applyFont="1" applyFill="1" applyBorder="1" applyAlignment="1">
      <alignment horizontal="center"/>
    </xf>
    <xf numFmtId="0" fontId="16" fillId="6" borderId="13" xfId="0" applyFont="1" applyFill="1" applyBorder="1" applyAlignment="1">
      <alignment horizontal="center" vertical="center" wrapText="1"/>
    </xf>
    <xf numFmtId="0" fontId="16" fillId="6" borderId="14" xfId="0" applyFont="1" applyFill="1" applyBorder="1" applyAlignment="1">
      <alignment horizontal="center" vertical="center" wrapText="1"/>
    </xf>
    <xf numFmtId="0" fontId="16" fillId="6" borderId="15" xfId="0" applyFont="1" applyFill="1" applyBorder="1" applyAlignment="1">
      <alignment horizontal="center" vertical="center" wrapText="1"/>
    </xf>
    <xf numFmtId="0" fontId="16" fillId="6" borderId="7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/>
    </xf>
    <xf numFmtId="0" fontId="16" fillId="6" borderId="7" xfId="0" applyFont="1" applyFill="1" applyBorder="1" applyAlignment="1">
      <alignment horizontal="center"/>
    </xf>
    <xf numFmtId="0" fontId="0" fillId="6" borderId="0" xfId="0" applyFill="1" applyAlignment="1">
      <alignment vertical="center"/>
    </xf>
    <xf numFmtId="0" fontId="0" fillId="4" borderId="11" xfId="0" applyFill="1" applyBorder="1" applyAlignment="1">
      <alignment horizontal="center" vertical="center"/>
    </xf>
    <xf numFmtId="173" fontId="0" fillId="6" borderId="12" xfId="0" applyNumberFormat="1" applyFill="1" applyBorder="1" applyAlignment="1">
      <alignment horizontal="center" vertical="center"/>
    </xf>
    <xf numFmtId="2" fontId="0" fillId="6" borderId="5" xfId="0" applyNumberFormat="1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166" fontId="0" fillId="5" borderId="9" xfId="0" applyNumberFormat="1" applyFill="1" applyBorder="1" applyAlignment="1">
      <alignment horizontal="center" vertical="center"/>
    </xf>
    <xf numFmtId="166" fontId="0" fillId="5" borderId="10" xfId="0" applyNumberFormat="1" applyFill="1" applyBorder="1" applyAlignment="1">
      <alignment horizontal="center" vertical="center"/>
    </xf>
    <xf numFmtId="174" fontId="0" fillId="5" borderId="11" xfId="0" applyNumberFormat="1" applyFill="1" applyBorder="1" applyAlignment="1">
      <alignment horizontal="center" vertical="center"/>
    </xf>
    <xf numFmtId="174" fontId="0" fillId="5" borderId="6" xfId="0" applyNumberFormat="1" applyFill="1" applyBorder="1" applyAlignment="1">
      <alignment horizontal="center" vertical="center"/>
    </xf>
    <xf numFmtId="174" fontId="0" fillId="5" borderId="12" xfId="0" applyNumberFormat="1" applyFill="1" applyBorder="1" applyAlignment="1">
      <alignment horizontal="center" vertical="center"/>
    </xf>
    <xf numFmtId="174" fontId="0" fillId="6" borderId="12" xfId="0" applyNumberFormat="1" applyFill="1" applyBorder="1" applyAlignment="1">
      <alignment horizontal="center" vertical="center"/>
    </xf>
    <xf numFmtId="2" fontId="0" fillId="3" borderId="12" xfId="0" applyNumberFormat="1" applyFill="1" applyBorder="1" applyAlignment="1">
      <alignment horizontal="center" vertical="center"/>
    </xf>
    <xf numFmtId="2" fontId="0" fillId="3" borderId="6" xfId="0" applyNumberFormat="1" applyFill="1" applyBorder="1" applyAlignment="1">
      <alignment horizontal="center" vertical="center"/>
    </xf>
    <xf numFmtId="2" fontId="0" fillId="3" borderId="11" xfId="0" applyNumberFormat="1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2" fontId="0" fillId="6" borderId="6" xfId="0" applyNumberFormat="1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166" fontId="0" fillId="5" borderId="12" xfId="0" applyNumberFormat="1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173" fontId="0" fillId="4" borderId="14" xfId="0" applyNumberFormat="1" applyFill="1" applyBorder="1" applyAlignment="1">
      <alignment horizontal="center" vertical="center"/>
    </xf>
    <xf numFmtId="173" fontId="0" fillId="6" borderId="15" xfId="0" applyNumberFormat="1" applyFill="1" applyBorder="1" applyAlignment="1">
      <alignment horizontal="center" vertical="center"/>
    </xf>
    <xf numFmtId="2" fontId="0" fillId="6" borderId="7" xfId="0" applyNumberFormat="1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166" fontId="0" fillId="5" borderId="14" xfId="0" applyNumberFormat="1" applyFill="1" applyBorder="1" applyAlignment="1">
      <alignment horizontal="center" vertical="center"/>
    </xf>
    <xf numFmtId="166" fontId="0" fillId="5" borderId="15" xfId="0" applyNumberFormat="1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16" fillId="6" borderId="0" xfId="0" applyFont="1" applyFill="1" applyAlignment="1">
      <alignment vertical="center"/>
    </xf>
    <xf numFmtId="174" fontId="0" fillId="6" borderId="2" xfId="0" applyNumberFormat="1" applyFill="1" applyBorder="1" applyAlignment="1">
      <alignment horizontal="center" vertical="center"/>
    </xf>
    <xf numFmtId="174" fontId="0" fillId="6" borderId="1" xfId="0" applyNumberFormat="1" applyFill="1" applyBorder="1" applyAlignment="1">
      <alignment horizontal="center" vertical="center"/>
    </xf>
    <xf numFmtId="174" fontId="0" fillId="6" borderId="4" xfId="0" applyNumberFormat="1" applyFill="1" applyBorder="1" applyAlignment="1">
      <alignment horizontal="center" vertical="center"/>
    </xf>
    <xf numFmtId="174" fontId="16" fillId="6" borderId="4" xfId="0" applyNumberFormat="1" applyFont="1" applyFill="1" applyBorder="1" applyAlignment="1">
      <alignment horizontal="center" vertical="center"/>
    </xf>
    <xf numFmtId="1" fontId="0" fillId="6" borderId="4" xfId="0" applyNumberFormat="1" applyFill="1" applyBorder="1" applyAlignment="1">
      <alignment horizontal="center" vertical="center"/>
    </xf>
    <xf numFmtId="1" fontId="0" fillId="6" borderId="1" xfId="0" applyNumberFormat="1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6" fillId="6" borderId="3" xfId="0" applyFont="1" applyFill="1" applyBorder="1" applyAlignment="1">
      <alignment horizontal="center" vertical="center"/>
    </xf>
    <xf numFmtId="0" fontId="16" fillId="6" borderId="0" xfId="0" applyFont="1" applyFill="1" applyAlignment="1">
      <alignment horizontal="right" vertical="center"/>
    </xf>
    <xf numFmtId="0" fontId="0" fillId="6" borderId="13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6" borderId="15" xfId="0" applyFill="1" applyBorder="1" applyAlignment="1">
      <alignment horizontal="center" vertical="center"/>
    </xf>
    <xf numFmtId="0" fontId="17" fillId="6" borderId="0" xfId="0" applyFont="1" applyFill="1" applyAlignment="1">
      <alignment vertical="center"/>
    </xf>
    <xf numFmtId="0" fontId="16" fillId="6" borderId="13" xfId="0" applyFont="1" applyFill="1" applyBorder="1" applyAlignment="1">
      <alignment horizontal="center"/>
    </xf>
    <xf numFmtId="0" fontId="16" fillId="6" borderId="15" xfId="0" applyFont="1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4" xfId="0" applyFill="1" applyBorder="1" applyAlignment="1">
      <alignment horizontal="center" vertical="center" wrapText="1"/>
    </xf>
    <xf numFmtId="0" fontId="16" fillId="6" borderId="19" xfId="0" applyFont="1" applyFill="1" applyBorder="1" applyAlignment="1">
      <alignment horizontal="center"/>
    </xf>
    <xf numFmtId="0" fontId="16" fillId="6" borderId="20" xfId="0" applyFont="1" applyFill="1" applyBorder="1" applyAlignment="1">
      <alignment horizontal="center"/>
    </xf>
    <xf numFmtId="0" fontId="16" fillId="6" borderId="21" xfId="0" applyFont="1" applyFill="1" applyBorder="1" applyAlignment="1">
      <alignment horizontal="center"/>
    </xf>
    <xf numFmtId="0" fontId="0" fillId="4" borderId="9" xfId="0" applyFill="1" applyBorder="1" applyAlignment="1">
      <alignment horizontal="center" vertical="center"/>
    </xf>
    <xf numFmtId="173" fontId="0" fillId="4" borderId="9" xfId="0" applyNumberFormat="1" applyFill="1" applyBorder="1" applyAlignment="1">
      <alignment horizontal="center" vertical="center"/>
    </xf>
    <xf numFmtId="2" fontId="0" fillId="6" borderId="9" xfId="0" applyNumberFormat="1" applyFill="1" applyBorder="1" applyAlignment="1">
      <alignment horizontal="center" vertical="center"/>
    </xf>
    <xf numFmtId="174" fontId="0" fillId="6" borderId="9" xfId="0" applyNumberFormat="1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2" fontId="0" fillId="6" borderId="8" xfId="0" applyNumberFormat="1" applyFill="1" applyBorder="1" applyAlignment="1">
      <alignment horizontal="center" vertical="center"/>
    </xf>
    <xf numFmtId="2" fontId="0" fillId="6" borderId="10" xfId="0" applyNumberFormat="1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1" fontId="0" fillId="6" borderId="5" xfId="0" applyNumberFormat="1" applyFill="1" applyBorder="1" applyAlignment="1">
      <alignment horizontal="center" vertical="center"/>
    </xf>
    <xf numFmtId="0" fontId="0" fillId="5" borderId="17" xfId="0" applyFill="1" applyBorder="1" applyAlignment="1">
      <alignment horizontal="center"/>
    </xf>
    <xf numFmtId="0" fontId="0" fillId="5" borderId="18" xfId="0" applyFill="1" applyBorder="1" applyAlignment="1">
      <alignment horizontal="center"/>
    </xf>
    <xf numFmtId="0" fontId="0" fillId="6" borderId="12" xfId="0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2" fontId="0" fillId="6" borderId="11" xfId="0" applyNumberFormat="1" applyFill="1" applyBorder="1" applyAlignment="1">
      <alignment horizontal="center" vertical="center"/>
    </xf>
    <xf numFmtId="2" fontId="0" fillId="6" borderId="12" xfId="0" applyNumberFormat="1" applyFill="1" applyBorder="1" applyAlignment="1">
      <alignment horizontal="center" vertical="center"/>
    </xf>
    <xf numFmtId="1" fontId="0" fillId="6" borderId="6" xfId="0" applyNumberFormat="1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2" fontId="0" fillId="6" borderId="14" xfId="0" applyNumberFormat="1" applyFill="1" applyBorder="1" applyAlignment="1">
      <alignment horizontal="center" vertical="center"/>
    </xf>
    <xf numFmtId="174" fontId="0" fillId="6" borderId="14" xfId="0" applyNumberFormat="1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2" fontId="0" fillId="6" borderId="13" xfId="0" applyNumberFormat="1" applyFill="1" applyBorder="1" applyAlignment="1">
      <alignment horizontal="center" vertical="center"/>
    </xf>
    <xf numFmtId="2" fontId="0" fillId="6" borderId="15" xfId="0" applyNumberFormat="1" applyFill="1" applyBorder="1" applyAlignment="1">
      <alignment horizontal="center" vertical="center"/>
    </xf>
    <xf numFmtId="1" fontId="0" fillId="6" borderId="7" xfId="0" applyNumberFormat="1" applyFill="1" applyBorder="1" applyAlignment="1">
      <alignment horizontal="center" vertical="center"/>
    </xf>
    <xf numFmtId="0" fontId="0" fillId="5" borderId="19" xfId="0" applyFill="1" applyBorder="1" applyAlignment="1">
      <alignment horizontal="center"/>
    </xf>
    <xf numFmtId="0" fontId="0" fillId="5" borderId="20" xfId="0" applyFill="1" applyBorder="1" applyAlignment="1">
      <alignment horizontal="center"/>
    </xf>
    <xf numFmtId="0" fontId="0" fillId="5" borderId="21" xfId="0" applyFill="1" applyBorder="1" applyAlignment="1">
      <alignment horizontal="center"/>
    </xf>
    <xf numFmtId="0" fontId="16" fillId="6" borderId="11" xfId="0" applyFont="1" applyFill="1" applyBorder="1" applyAlignment="1">
      <alignment horizontal="center" vertical="center"/>
    </xf>
    <xf numFmtId="1" fontId="16" fillId="6" borderId="12" xfId="0" applyNumberFormat="1" applyFont="1" applyFill="1" applyBorder="1" applyAlignment="1">
      <alignment horizontal="center" vertical="center"/>
    </xf>
    <xf numFmtId="174" fontId="16" fillId="6" borderId="14" xfId="0" applyNumberFormat="1" applyFont="1" applyFill="1" applyBorder="1" applyAlignment="1">
      <alignment horizontal="center" vertical="center"/>
    </xf>
    <xf numFmtId="0" fontId="16" fillId="6" borderId="12" xfId="0" applyFont="1" applyFill="1" applyBorder="1" applyAlignment="1">
      <alignment horizontal="center" vertical="center"/>
    </xf>
    <xf numFmtId="0" fontId="16" fillId="6" borderId="14" xfId="0" applyFont="1" applyFill="1" applyBorder="1" applyAlignment="1">
      <alignment horizontal="center" vertical="center"/>
    </xf>
    <xf numFmtId="174" fontId="16" fillId="6" borderId="1" xfId="0" applyNumberFormat="1" applyFont="1" applyFill="1" applyBorder="1" applyAlignment="1">
      <alignment horizontal="center" vertical="center"/>
    </xf>
    <xf numFmtId="1" fontId="16" fillId="6" borderId="23" xfId="0" applyNumberFormat="1" applyFont="1" applyFill="1" applyBorder="1" applyAlignment="1">
      <alignment horizontal="center" vertical="center"/>
    </xf>
    <xf numFmtId="0" fontId="0" fillId="6" borderId="11" xfId="0" applyFill="1" applyBorder="1" applyAlignment="1">
      <alignment vertical="center"/>
    </xf>
    <xf numFmtId="0" fontId="0" fillId="6" borderId="12" xfId="0" applyFill="1" applyBorder="1" applyAlignment="1">
      <alignment vertical="center"/>
    </xf>
    <xf numFmtId="0" fontId="0" fillId="6" borderId="13" xfId="0" applyFill="1" applyBorder="1" applyAlignment="1">
      <alignment vertical="center"/>
    </xf>
    <xf numFmtId="0" fontId="0" fillId="6" borderId="14" xfId="0" applyFill="1" applyBorder="1" applyAlignment="1">
      <alignment vertical="center"/>
    </xf>
    <xf numFmtId="0" fontId="0" fillId="6" borderId="15" xfId="0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170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0" fontId="8" fillId="2" borderId="1" xfId="0" applyFont="1" applyFill="1" applyBorder="1"/>
    <xf numFmtId="171" fontId="0" fillId="0" borderId="0" xfId="0" applyNumberFormat="1"/>
    <xf numFmtId="166" fontId="0" fillId="0" borderId="0" xfId="0" applyNumberFormat="1"/>
    <xf numFmtId="164" fontId="0" fillId="0" borderId="0" xfId="1" applyNumberFormat="1" applyFont="1" applyBorder="1"/>
    <xf numFmtId="164" fontId="8" fillId="0" borderId="0" xfId="1" applyNumberFormat="1" applyFont="1" applyBorder="1"/>
    <xf numFmtId="0" fontId="8" fillId="0" borderId="11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165" fontId="7" fillId="0" borderId="6" xfId="1" applyFont="1" applyBorder="1"/>
    <xf numFmtId="40" fontId="8" fillId="0" borderId="0" xfId="0" applyNumberFormat="1" applyFont="1"/>
    <xf numFmtId="40" fontId="0" fillId="0" borderId="0" xfId="1" applyNumberFormat="1" applyFont="1" applyBorder="1"/>
    <xf numFmtId="40" fontId="0" fillId="0" borderId="0" xfId="0" applyNumberFormat="1"/>
    <xf numFmtId="40" fontId="0" fillId="0" borderId="5" xfId="1" applyNumberFormat="1" applyFont="1" applyBorder="1"/>
    <xf numFmtId="40" fontId="0" fillId="0" borderId="6" xfId="1" applyNumberFormat="1" applyFont="1" applyBorder="1"/>
    <xf numFmtId="0" fontId="8" fillId="0" borderId="11" xfId="0" applyFont="1" applyBorder="1" applyAlignment="1">
      <alignment horizontal="left" vertical="top"/>
    </xf>
    <xf numFmtId="165" fontId="0" fillId="0" borderId="11" xfId="1" applyFont="1" applyBorder="1" applyAlignment="1">
      <alignment horizontal="left" vertical="top" wrapText="1"/>
    </xf>
    <xf numFmtId="165" fontId="0" fillId="0" borderId="0" xfId="1" applyFont="1" applyBorder="1" applyAlignment="1">
      <alignment horizontal="left" vertical="top" wrapText="1"/>
    </xf>
    <xf numFmtId="165" fontId="0" fillId="0" borderId="12" xfId="1" applyFont="1" applyBorder="1" applyAlignment="1">
      <alignment horizontal="left" vertical="top" wrapText="1"/>
    </xf>
    <xf numFmtId="165" fontId="0" fillId="0" borderId="11" xfId="1" applyFont="1" applyBorder="1" applyAlignment="1">
      <alignment horizontal="left" vertical="top"/>
    </xf>
    <xf numFmtId="0" fontId="23" fillId="0" borderId="0" xfId="0" applyFont="1"/>
    <xf numFmtId="0" fontId="23" fillId="0" borderId="12" xfId="0" applyFont="1" applyBorder="1"/>
    <xf numFmtId="165" fontId="23" fillId="0" borderId="0" xfId="1" applyFont="1"/>
    <xf numFmtId="165" fontId="23" fillId="0" borderId="6" xfId="1" applyFont="1" applyBorder="1"/>
    <xf numFmtId="0" fontId="24" fillId="0" borderId="11" xfId="0" applyFont="1" applyBorder="1"/>
    <xf numFmtId="0" fontId="4" fillId="0" borderId="0" xfId="204" applyFont="1"/>
    <xf numFmtId="165" fontId="0" fillId="0" borderId="0" xfId="1" applyFont="1" applyFill="1" applyBorder="1"/>
    <xf numFmtId="165" fontId="0" fillId="0" borderId="14" xfId="1" applyFont="1" applyFill="1" applyBorder="1"/>
    <xf numFmtId="0" fontId="0" fillId="0" borderId="3" xfId="0" applyBorder="1"/>
    <xf numFmtId="165" fontId="0" fillId="0" borderId="3" xfId="1" applyFont="1" applyBorder="1"/>
    <xf numFmtId="165" fontId="7" fillId="0" borderId="0" xfId="1" applyFont="1" applyFill="1"/>
    <xf numFmtId="165" fontId="7" fillId="0" borderId="6" xfId="1" applyFont="1" applyFill="1" applyBorder="1"/>
    <xf numFmtId="165" fontId="0" fillId="0" borderId="27" xfId="1" applyFont="1" applyBorder="1"/>
    <xf numFmtId="41" fontId="0" fillId="0" borderId="0" xfId="0" applyNumberFormat="1"/>
    <xf numFmtId="44" fontId="0" fillId="0" borderId="0" xfId="248" applyFont="1"/>
    <xf numFmtId="15" fontId="0" fillId="0" borderId="0" xfId="0" applyNumberFormat="1"/>
    <xf numFmtId="7" fontId="0" fillId="0" borderId="0" xfId="0" applyNumberFormat="1"/>
    <xf numFmtId="44" fontId="0" fillId="0" borderId="0" xfId="0" applyNumberFormat="1"/>
    <xf numFmtId="0" fontId="8" fillId="0" borderId="7" xfId="0" applyFont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center"/>
    </xf>
    <xf numFmtId="0" fontId="16" fillId="6" borderId="3" xfId="0" applyFont="1" applyFill="1" applyBorder="1" applyAlignment="1">
      <alignment horizontal="center"/>
    </xf>
    <xf numFmtId="0" fontId="16" fillId="6" borderId="4" xfId="0" applyFont="1" applyFill="1" applyBorder="1" applyAlignment="1">
      <alignment horizontal="center"/>
    </xf>
    <xf numFmtId="0" fontId="16" fillId="6" borderId="2" xfId="0" applyFont="1" applyFill="1" applyBorder="1" applyAlignment="1">
      <alignment horizontal="center" vertical="center"/>
    </xf>
    <xf numFmtId="0" fontId="16" fillId="6" borderId="4" xfId="0" applyFont="1" applyFill="1" applyBorder="1" applyAlignment="1">
      <alignment horizontal="center" vertical="center"/>
    </xf>
    <xf numFmtId="165" fontId="0" fillId="0" borderId="0" xfId="205" applyFont="1"/>
    <xf numFmtId="165" fontId="8" fillId="0" borderId="1" xfId="1" applyFont="1" applyBorder="1" applyAlignment="1">
      <alignment vertical="center"/>
    </xf>
    <xf numFmtId="0" fontId="8" fillId="0" borderId="0" xfId="0" applyFont="1" applyAlignment="1">
      <alignment horizontal="right" vertical="center"/>
    </xf>
    <xf numFmtId="1" fontId="8" fillId="0" borderId="1" xfId="0" applyNumberFormat="1" applyFont="1" applyBorder="1" applyAlignment="1">
      <alignment horizontal="center" vertical="center"/>
    </xf>
    <xf numFmtId="1" fontId="8" fillId="0" borderId="1" xfId="1" applyNumberFormat="1" applyFont="1" applyBorder="1" applyAlignment="1">
      <alignment horizontal="center" vertical="center"/>
    </xf>
    <xf numFmtId="0" fontId="25" fillId="0" borderId="0" xfId="249" applyAlignment="1">
      <alignment horizontal="left" vertical="top"/>
    </xf>
    <xf numFmtId="0" fontId="26" fillId="0" borderId="0" xfId="249" applyFont="1" applyAlignment="1">
      <alignment horizontal="left" vertical="top"/>
    </xf>
    <xf numFmtId="0" fontId="25" fillId="0" borderId="0" xfId="249" applyAlignment="1">
      <alignment horizontal="center" vertical="top"/>
    </xf>
    <xf numFmtId="176" fontId="0" fillId="0" borderId="0" xfId="250" applyNumberFormat="1" applyFont="1" applyAlignment="1">
      <alignment horizontal="left" vertical="top"/>
    </xf>
    <xf numFmtId="0" fontId="27" fillId="0" borderId="0" xfId="249" applyFont="1" applyAlignment="1">
      <alignment horizontal="left" vertical="top"/>
    </xf>
    <xf numFmtId="0" fontId="27" fillId="0" borderId="0" xfId="249" applyFont="1" applyAlignment="1">
      <alignment horizontal="center" vertical="top"/>
    </xf>
    <xf numFmtId="0" fontId="27" fillId="0" borderId="0" xfId="249" applyFont="1" applyAlignment="1">
      <alignment vertical="top"/>
    </xf>
    <xf numFmtId="176" fontId="27" fillId="0" borderId="0" xfId="250" applyNumberFormat="1" applyFont="1" applyAlignment="1">
      <alignment horizontal="left" vertical="top"/>
    </xf>
    <xf numFmtId="44" fontId="0" fillId="0" borderId="0" xfId="251" applyFont="1" applyAlignment="1">
      <alignment horizontal="left" vertical="top"/>
    </xf>
    <xf numFmtId="44" fontId="25" fillId="0" borderId="0" xfId="249" applyNumberFormat="1" applyAlignment="1">
      <alignment horizontal="left" vertical="top"/>
    </xf>
    <xf numFmtId="176" fontId="0" fillId="0" borderId="27" xfId="250" applyNumberFormat="1" applyFont="1" applyBorder="1" applyAlignment="1">
      <alignment horizontal="left" vertical="top"/>
    </xf>
    <xf numFmtId="2" fontId="28" fillId="0" borderId="32" xfId="0" applyNumberFormat="1" applyFont="1" applyBorder="1" applyAlignment="1">
      <alignment horizontal="right" vertical="top" shrinkToFit="1"/>
    </xf>
    <xf numFmtId="10" fontId="0" fillId="0" borderId="0" xfId="2" applyNumberFormat="1" applyFont="1" applyAlignment="1">
      <alignment horizontal="center" vertical="top"/>
    </xf>
    <xf numFmtId="10" fontId="0" fillId="0" borderId="12" xfId="2" applyNumberFormat="1" applyFont="1" applyBorder="1"/>
    <xf numFmtId="0" fontId="3" fillId="0" borderId="0" xfId="51" applyFont="1"/>
    <xf numFmtId="10" fontId="0" fillId="0" borderId="0" xfId="2" applyNumberFormat="1" applyFont="1"/>
    <xf numFmtId="0" fontId="29" fillId="0" borderId="0" xfId="102" applyFont="1"/>
    <xf numFmtId="0" fontId="30" fillId="0" borderId="0" xfId="102" applyFont="1"/>
    <xf numFmtId="172" fontId="29" fillId="0" borderId="0" xfId="103" applyNumberFormat="1" applyFont="1"/>
    <xf numFmtId="165" fontId="29" fillId="0" borderId="0" xfId="103" applyFont="1"/>
    <xf numFmtId="3" fontId="29" fillId="0" borderId="0" xfId="102" applyNumberFormat="1" applyFont="1"/>
    <xf numFmtId="0" fontId="29" fillId="0" borderId="0" xfId="102" applyFont="1" applyAlignment="1">
      <alignment horizontal="center"/>
    </xf>
    <xf numFmtId="165" fontId="30" fillId="0" borderId="0" xfId="103" applyFont="1"/>
    <xf numFmtId="0" fontId="29" fillId="0" borderId="28" xfId="102" applyFont="1" applyBorder="1"/>
    <xf numFmtId="0" fontId="29" fillId="0" borderId="29" xfId="102" applyFont="1" applyBorder="1"/>
    <xf numFmtId="0" fontId="29" fillId="0" borderId="29" xfId="102" applyFont="1" applyBorder="1" applyAlignment="1">
      <alignment horizontal="center"/>
    </xf>
    <xf numFmtId="0" fontId="29" fillId="0" borderId="30" xfId="102" applyFont="1" applyBorder="1"/>
    <xf numFmtId="0" fontId="29" fillId="0" borderId="17" xfId="102" applyFont="1" applyBorder="1"/>
    <xf numFmtId="0" fontId="31" fillId="8" borderId="0" xfId="102" applyFont="1" applyFill="1"/>
    <xf numFmtId="0" fontId="29" fillId="8" borderId="0" xfId="102" applyFont="1" applyFill="1"/>
    <xf numFmtId="172" fontId="29" fillId="8" borderId="0" xfId="103" applyNumberFormat="1" applyFont="1" applyFill="1"/>
    <xf numFmtId="0" fontId="29" fillId="0" borderId="18" xfId="102" applyFont="1" applyBorder="1"/>
    <xf numFmtId="0" fontId="31" fillId="0" borderId="0" xfId="102" applyFont="1"/>
    <xf numFmtId="172" fontId="29" fillId="0" borderId="0" xfId="103" applyNumberFormat="1" applyFont="1" applyAlignment="1">
      <alignment horizontal="center"/>
    </xf>
    <xf numFmtId="165" fontId="29" fillId="0" borderId="0" xfId="103" applyFont="1" applyAlignment="1">
      <alignment horizontal="center"/>
    </xf>
    <xf numFmtId="3" fontId="29" fillId="0" borderId="0" xfId="102" applyNumberFormat="1" applyFont="1" applyAlignment="1">
      <alignment horizontal="center"/>
    </xf>
    <xf numFmtId="165" fontId="29" fillId="0" borderId="0" xfId="102" applyNumberFormat="1" applyFont="1"/>
    <xf numFmtId="0" fontId="29" fillId="8" borderId="31" xfId="102" applyFont="1" applyFill="1" applyBorder="1"/>
    <xf numFmtId="165" fontId="29" fillId="8" borderId="31" xfId="103" applyFont="1" applyFill="1" applyBorder="1" applyAlignment="1">
      <alignment horizontal="right"/>
    </xf>
    <xf numFmtId="165" fontId="29" fillId="8" borderId="27" xfId="102" applyNumberFormat="1" applyFont="1" applyFill="1" applyBorder="1"/>
    <xf numFmtId="0" fontId="29" fillId="0" borderId="19" xfId="102" applyFont="1" applyBorder="1"/>
    <xf numFmtId="0" fontId="29" fillId="0" borderId="20" xfId="102" applyFont="1" applyBorder="1"/>
    <xf numFmtId="172" fontId="29" fillId="0" borderId="20" xfId="103" applyNumberFormat="1" applyFont="1" applyBorder="1"/>
    <xf numFmtId="165" fontId="29" fillId="0" borderId="20" xfId="103" applyFont="1" applyBorder="1"/>
    <xf numFmtId="3" fontId="29" fillId="0" borderId="20" xfId="102" applyNumberFormat="1" applyFont="1" applyBorder="1"/>
    <xf numFmtId="0" fontId="29" fillId="0" borderId="20" xfId="102" applyFont="1" applyBorder="1" applyAlignment="1">
      <alignment horizontal="center"/>
    </xf>
    <xf numFmtId="0" fontId="29" fillId="0" borderId="21" xfId="102" applyFont="1" applyBorder="1"/>
    <xf numFmtId="172" fontId="29" fillId="0" borderId="29" xfId="103" applyNumberFormat="1" applyFont="1" applyBorder="1"/>
    <xf numFmtId="165" fontId="29" fillId="0" borderId="29" xfId="103" applyFont="1" applyBorder="1"/>
    <xf numFmtId="3" fontId="29" fillId="0" borderId="29" xfId="102" applyNumberFormat="1" applyFont="1" applyBorder="1"/>
    <xf numFmtId="167" fontId="29" fillId="0" borderId="0" xfId="103" applyNumberFormat="1" applyFont="1"/>
    <xf numFmtId="167" fontId="29" fillId="0" borderId="29" xfId="102" applyNumberFormat="1" applyFont="1" applyBorder="1"/>
    <xf numFmtId="167" fontId="29" fillId="8" borderId="0" xfId="103" applyNumberFormat="1" applyFont="1" applyFill="1"/>
    <xf numFmtId="167" fontId="29" fillId="0" borderId="0" xfId="103" applyNumberFormat="1" applyFont="1" applyAlignment="1">
      <alignment horizontal="center"/>
    </xf>
    <xf numFmtId="167" fontId="29" fillId="0" borderId="20" xfId="103" applyNumberFormat="1" applyFont="1" applyBorder="1"/>
    <xf numFmtId="167" fontId="29" fillId="0" borderId="29" xfId="103" applyNumberFormat="1" applyFont="1" applyBorder="1"/>
    <xf numFmtId="0" fontId="15" fillId="6" borderId="0" xfId="174" applyFill="1"/>
    <xf numFmtId="0" fontId="15" fillId="6" borderId="0" xfId="174" applyFill="1" applyAlignment="1">
      <alignment horizontal="left"/>
    </xf>
    <xf numFmtId="0" fontId="15" fillId="6" borderId="0" xfId="174" applyFill="1" applyAlignment="1">
      <alignment horizontal="center"/>
    </xf>
    <xf numFmtId="0" fontId="16" fillId="6" borderId="0" xfId="174" applyFont="1" applyFill="1"/>
    <xf numFmtId="0" fontId="15" fillId="0" borderId="0" xfId="174"/>
    <xf numFmtId="14" fontId="16" fillId="6" borderId="0" xfId="174" applyNumberFormat="1" applyFont="1" applyFill="1" applyAlignment="1">
      <alignment horizontal="left"/>
    </xf>
    <xf numFmtId="0" fontId="16" fillId="6" borderId="1" xfId="174" applyFont="1" applyFill="1" applyBorder="1"/>
    <xf numFmtId="0" fontId="16" fillId="6" borderId="0" xfId="174" applyFont="1" applyFill="1" applyAlignment="1">
      <alignment horizontal="center"/>
    </xf>
    <xf numFmtId="0" fontId="16" fillId="6" borderId="8" xfId="174" applyFont="1" applyFill="1" applyBorder="1" applyAlignment="1">
      <alignment horizontal="center"/>
    </xf>
    <xf numFmtId="0" fontId="16" fillId="6" borderId="9" xfId="174" applyFont="1" applyFill="1" applyBorder="1" applyAlignment="1">
      <alignment horizontal="center"/>
    </xf>
    <xf numFmtId="0" fontId="16" fillId="6" borderId="10" xfId="174" applyFont="1" applyFill="1" applyBorder="1" applyAlignment="1">
      <alignment horizontal="center"/>
    </xf>
    <xf numFmtId="0" fontId="16" fillId="6" borderId="5" xfId="174" applyFont="1" applyFill="1" applyBorder="1" applyAlignment="1">
      <alignment horizontal="center"/>
    </xf>
    <xf numFmtId="0" fontId="16" fillId="6" borderId="4" xfId="174" applyFont="1" applyFill="1" applyBorder="1" applyAlignment="1">
      <alignment horizontal="center"/>
    </xf>
    <xf numFmtId="0" fontId="15" fillId="0" borderId="0" xfId="174" applyAlignment="1">
      <alignment horizontal="center"/>
    </xf>
    <xf numFmtId="0" fontId="16" fillId="6" borderId="13" xfId="174" applyFont="1" applyFill="1" applyBorder="1" applyAlignment="1">
      <alignment horizontal="center" vertical="center" wrapText="1"/>
    </xf>
    <xf numFmtId="0" fontId="16" fillId="6" borderId="14" xfId="174" applyFont="1" applyFill="1" applyBorder="1" applyAlignment="1">
      <alignment horizontal="center" vertical="center" wrapText="1"/>
    </xf>
    <xf numFmtId="0" fontId="16" fillId="6" borderId="15" xfId="174" applyFont="1" applyFill="1" applyBorder="1" applyAlignment="1">
      <alignment horizontal="center" vertical="center" wrapText="1"/>
    </xf>
    <xf numFmtId="0" fontId="16" fillId="6" borderId="7" xfId="174" applyFont="1" applyFill="1" applyBorder="1" applyAlignment="1">
      <alignment horizontal="center" vertical="center" wrapText="1"/>
    </xf>
    <xf numFmtId="0" fontId="16" fillId="6" borderId="2" xfId="174" applyFont="1" applyFill="1" applyBorder="1" applyAlignment="1">
      <alignment horizontal="center"/>
    </xf>
    <xf numFmtId="0" fontId="16" fillId="6" borderId="1" xfId="174" applyFont="1" applyFill="1" applyBorder="1" applyAlignment="1">
      <alignment horizontal="center"/>
    </xf>
    <xf numFmtId="0" fontId="16" fillId="6" borderId="7" xfId="174" applyFont="1" applyFill="1" applyBorder="1" applyAlignment="1">
      <alignment horizontal="center"/>
    </xf>
    <xf numFmtId="0" fontId="16" fillId="6" borderId="3" xfId="174" applyFont="1" applyFill="1" applyBorder="1" applyAlignment="1">
      <alignment horizontal="center"/>
    </xf>
    <xf numFmtId="0" fontId="15" fillId="6" borderId="0" xfId="174" applyFill="1" applyAlignment="1">
      <alignment vertical="center"/>
    </xf>
    <xf numFmtId="0" fontId="15" fillId="4" borderId="11" xfId="174" applyFill="1" applyBorder="1" applyAlignment="1">
      <alignment horizontal="center" vertical="center"/>
    </xf>
    <xf numFmtId="173" fontId="15" fillId="4" borderId="0" xfId="174" applyNumberFormat="1" applyFill="1" applyAlignment="1">
      <alignment horizontal="center" vertical="center"/>
    </xf>
    <xf numFmtId="173" fontId="15" fillId="6" borderId="12" xfId="174" applyNumberFormat="1" applyFill="1" applyBorder="1" applyAlignment="1">
      <alignment horizontal="center" vertical="center"/>
    </xf>
    <xf numFmtId="2" fontId="15" fillId="6" borderId="5" xfId="174" applyNumberFormat="1" applyFill="1" applyBorder="1" applyAlignment="1">
      <alignment horizontal="center" vertical="center"/>
    </xf>
    <xf numFmtId="0" fontId="15" fillId="4" borderId="8" xfId="174" applyFill="1" applyBorder="1" applyAlignment="1">
      <alignment horizontal="center" vertical="center"/>
    </xf>
    <xf numFmtId="166" fontId="15" fillId="5" borderId="9" xfId="174" applyNumberFormat="1" applyFill="1" applyBorder="1" applyAlignment="1">
      <alignment horizontal="center" vertical="center"/>
    </xf>
    <xf numFmtId="166" fontId="15" fillId="5" borderId="10" xfId="174" applyNumberFormat="1" applyFill="1" applyBorder="1" applyAlignment="1">
      <alignment horizontal="center" vertical="center"/>
    </xf>
    <xf numFmtId="174" fontId="15" fillId="5" borderId="11" xfId="174" applyNumberFormat="1" applyFill="1" applyBorder="1" applyAlignment="1">
      <alignment horizontal="center" vertical="center"/>
    </xf>
    <xf numFmtId="174" fontId="15" fillId="5" borderId="6" xfId="174" applyNumberFormat="1" applyFill="1" applyBorder="1" applyAlignment="1">
      <alignment horizontal="center" vertical="center"/>
    </xf>
    <xf numFmtId="174" fontId="15" fillId="5" borderId="12" xfId="174" applyNumberFormat="1" applyFill="1" applyBorder="1" applyAlignment="1">
      <alignment horizontal="center" vertical="center"/>
    </xf>
    <xf numFmtId="174" fontId="15" fillId="6" borderId="12" xfId="174" applyNumberFormat="1" applyFill="1" applyBorder="1" applyAlignment="1">
      <alignment horizontal="center" vertical="center"/>
    </xf>
    <xf numFmtId="2" fontId="15" fillId="3" borderId="12" xfId="174" applyNumberFormat="1" applyFill="1" applyBorder="1" applyAlignment="1">
      <alignment horizontal="center" vertical="center"/>
    </xf>
    <xf numFmtId="2" fontId="15" fillId="3" borderId="6" xfId="174" applyNumberFormat="1" applyFill="1" applyBorder="1" applyAlignment="1">
      <alignment horizontal="center" vertical="center"/>
    </xf>
    <xf numFmtId="2" fontId="15" fillId="3" borderId="11" xfId="174" applyNumberFormat="1" applyFill="1" applyBorder="1" applyAlignment="1">
      <alignment horizontal="center" vertical="center"/>
    </xf>
    <xf numFmtId="0" fontId="15" fillId="5" borderId="11" xfId="174" applyFill="1" applyBorder="1" applyAlignment="1">
      <alignment horizontal="center" vertical="center"/>
    </xf>
    <xf numFmtId="0" fontId="15" fillId="5" borderId="0" xfId="174" applyFill="1" applyAlignment="1">
      <alignment horizontal="center" vertical="center"/>
    </xf>
    <xf numFmtId="0" fontId="15" fillId="5" borderId="12" xfId="174" applyFill="1" applyBorder="1" applyAlignment="1">
      <alignment horizontal="center" vertical="center"/>
    </xf>
    <xf numFmtId="0" fontId="15" fillId="0" borderId="0" xfId="174" applyAlignment="1">
      <alignment vertical="center"/>
    </xf>
    <xf numFmtId="2" fontId="15" fillId="6" borderId="6" xfId="174" applyNumberFormat="1" applyFill="1" applyBorder="1" applyAlignment="1">
      <alignment horizontal="center" vertical="center"/>
    </xf>
    <xf numFmtId="0" fontId="15" fillId="4" borderId="12" xfId="174" applyFill="1" applyBorder="1" applyAlignment="1">
      <alignment horizontal="center" vertical="center"/>
    </xf>
    <xf numFmtId="166" fontId="15" fillId="5" borderId="0" xfId="174" applyNumberFormat="1" applyFill="1" applyAlignment="1">
      <alignment horizontal="center" vertical="center"/>
    </xf>
    <xf numFmtId="166" fontId="15" fillId="5" borderId="12" xfId="174" applyNumberFormat="1" applyFill="1" applyBorder="1" applyAlignment="1">
      <alignment horizontal="center" vertical="center"/>
    </xf>
    <xf numFmtId="0" fontId="33" fillId="4" borderId="12" xfId="174" applyFont="1" applyFill="1" applyBorder="1" applyAlignment="1">
      <alignment horizontal="center" vertical="center"/>
    </xf>
    <xf numFmtId="0" fontId="15" fillId="4" borderId="13" xfId="174" applyFill="1" applyBorder="1" applyAlignment="1">
      <alignment horizontal="center" vertical="center"/>
    </xf>
    <xf numFmtId="173" fontId="15" fillId="4" borderId="14" xfId="174" applyNumberFormat="1" applyFill="1" applyBorder="1" applyAlignment="1">
      <alignment horizontal="center" vertical="center"/>
    </xf>
    <xf numFmtId="173" fontId="15" fillId="6" borderId="15" xfId="174" applyNumberFormat="1" applyFill="1" applyBorder="1" applyAlignment="1">
      <alignment horizontal="center" vertical="center"/>
    </xf>
    <xf numFmtId="2" fontId="15" fillId="6" borderId="7" xfId="174" applyNumberFormat="1" applyFill="1" applyBorder="1" applyAlignment="1">
      <alignment horizontal="center" vertical="center"/>
    </xf>
    <xf numFmtId="0" fontId="15" fillId="4" borderId="15" xfId="174" applyFill="1" applyBorder="1" applyAlignment="1">
      <alignment horizontal="center" vertical="center"/>
    </xf>
    <xf numFmtId="166" fontId="15" fillId="5" borderId="14" xfId="174" applyNumberFormat="1" applyFill="1" applyBorder="1" applyAlignment="1">
      <alignment horizontal="center" vertical="center"/>
    </xf>
    <xf numFmtId="166" fontId="15" fillId="5" borderId="15" xfId="174" applyNumberFormat="1" applyFill="1" applyBorder="1" applyAlignment="1">
      <alignment horizontal="center" vertical="center"/>
    </xf>
    <xf numFmtId="0" fontId="15" fillId="5" borderId="13" xfId="174" applyFill="1" applyBorder="1" applyAlignment="1">
      <alignment horizontal="center" vertical="center"/>
    </xf>
    <xf numFmtId="0" fontId="15" fillId="5" borderId="14" xfId="174" applyFill="1" applyBorder="1" applyAlignment="1">
      <alignment horizontal="center" vertical="center"/>
    </xf>
    <xf numFmtId="0" fontId="15" fillId="5" borderId="15" xfId="174" applyFill="1" applyBorder="1" applyAlignment="1">
      <alignment horizontal="center" vertical="center"/>
    </xf>
    <xf numFmtId="174" fontId="15" fillId="6" borderId="1" xfId="174" applyNumberFormat="1" applyFill="1" applyBorder="1" applyAlignment="1">
      <alignment horizontal="center" vertical="center"/>
    </xf>
    <xf numFmtId="0" fontId="16" fillId="6" borderId="0" xfId="174" applyFont="1" applyFill="1" applyAlignment="1">
      <alignment vertical="center"/>
    </xf>
    <xf numFmtId="174" fontId="15" fillId="6" borderId="2" xfId="174" applyNumberFormat="1" applyFill="1" applyBorder="1" applyAlignment="1">
      <alignment horizontal="center" vertical="center"/>
    </xf>
    <xf numFmtId="174" fontId="15" fillId="6" borderId="4" xfId="174" applyNumberFormat="1" applyFill="1" applyBorder="1" applyAlignment="1">
      <alignment horizontal="center" vertical="center"/>
    </xf>
    <xf numFmtId="174" fontId="16" fillId="6" borderId="4" xfId="174" applyNumberFormat="1" applyFont="1" applyFill="1" applyBorder="1" applyAlignment="1">
      <alignment horizontal="center" vertical="center"/>
    </xf>
    <xf numFmtId="1" fontId="15" fillId="6" borderId="4" xfId="174" applyNumberFormat="1" applyFill="1" applyBorder="1" applyAlignment="1">
      <alignment horizontal="center" vertical="center"/>
    </xf>
    <xf numFmtId="1" fontId="15" fillId="6" borderId="1" xfId="174" applyNumberFormat="1" applyFill="1" applyBorder="1" applyAlignment="1">
      <alignment horizontal="center" vertical="center"/>
    </xf>
    <xf numFmtId="0" fontId="15" fillId="6" borderId="0" xfId="174" applyFill="1" applyAlignment="1">
      <alignment horizontal="center" vertical="center"/>
    </xf>
    <xf numFmtId="0" fontId="16" fillId="6" borderId="2" xfId="174" applyFont="1" applyFill="1" applyBorder="1" applyAlignment="1">
      <alignment horizontal="center" vertical="center"/>
    </xf>
    <xf numFmtId="0" fontId="16" fillId="6" borderId="3" xfId="174" applyFont="1" applyFill="1" applyBorder="1" applyAlignment="1">
      <alignment horizontal="center" vertical="center"/>
    </xf>
    <xf numFmtId="0" fontId="16" fillId="6" borderId="4" xfId="174" applyFont="1" applyFill="1" applyBorder="1" applyAlignment="1">
      <alignment horizontal="center" vertical="center"/>
    </xf>
    <xf numFmtId="0" fontId="16" fillId="6" borderId="0" xfId="174" applyFont="1" applyFill="1" applyAlignment="1">
      <alignment horizontal="right" vertical="center"/>
    </xf>
    <xf numFmtId="0" fontId="15" fillId="6" borderId="13" xfId="174" applyFill="1" applyBorder="1" applyAlignment="1">
      <alignment horizontal="center" vertical="center"/>
    </xf>
    <xf numFmtId="0" fontId="15" fillId="6" borderId="7" xfId="174" applyFill="1" applyBorder="1" applyAlignment="1">
      <alignment horizontal="center" vertical="center"/>
    </xf>
    <xf numFmtId="0" fontId="15" fillId="6" borderId="15" xfId="174" applyFill="1" applyBorder="1" applyAlignment="1">
      <alignment horizontal="center" vertical="center"/>
    </xf>
    <xf numFmtId="0" fontId="17" fillId="6" borderId="0" xfId="174" applyFont="1" applyFill="1" applyAlignment="1">
      <alignment vertical="center"/>
    </xf>
    <xf numFmtId="0" fontId="16" fillId="6" borderId="13" xfId="174" applyFont="1" applyFill="1" applyBorder="1" applyAlignment="1">
      <alignment horizontal="center"/>
    </xf>
    <xf numFmtId="0" fontId="16" fillId="6" borderId="15" xfId="174" applyFont="1" applyFill="1" applyBorder="1" applyAlignment="1">
      <alignment horizontal="center"/>
    </xf>
    <xf numFmtId="0" fontId="15" fillId="6" borderId="9" xfId="174" applyFill="1" applyBorder="1" applyAlignment="1">
      <alignment horizontal="center"/>
    </xf>
    <xf numFmtId="0" fontId="15" fillId="6" borderId="5" xfId="174" applyFill="1" applyBorder="1" applyAlignment="1">
      <alignment horizontal="center"/>
    </xf>
    <xf numFmtId="0" fontId="15" fillId="6" borderId="14" xfId="174" applyFill="1" applyBorder="1" applyAlignment="1">
      <alignment horizontal="center" vertical="center" wrapText="1"/>
    </xf>
    <xf numFmtId="0" fontId="16" fillId="6" borderId="19" xfId="174" applyFont="1" applyFill="1" applyBorder="1" applyAlignment="1">
      <alignment horizontal="center"/>
    </xf>
    <xf numFmtId="0" fontId="16" fillId="6" borderId="20" xfId="174" applyFont="1" applyFill="1" applyBorder="1" applyAlignment="1">
      <alignment horizontal="center"/>
    </xf>
    <xf numFmtId="0" fontId="16" fillId="6" borderId="21" xfId="174" applyFont="1" applyFill="1" applyBorder="1" applyAlignment="1">
      <alignment horizontal="center"/>
    </xf>
    <xf numFmtId="0" fontId="15" fillId="4" borderId="9" xfId="174" applyFill="1" applyBorder="1" applyAlignment="1">
      <alignment horizontal="center" vertical="center"/>
    </xf>
    <xf numFmtId="173" fontId="15" fillId="4" borderId="9" xfId="174" applyNumberFormat="1" applyFill="1" applyBorder="1" applyAlignment="1">
      <alignment horizontal="center" vertical="center"/>
    </xf>
    <xf numFmtId="2" fontId="15" fillId="6" borderId="9" xfId="174" applyNumberFormat="1" applyFill="1" applyBorder="1" applyAlignment="1">
      <alignment horizontal="center" vertical="center"/>
    </xf>
    <xf numFmtId="174" fontId="15" fillId="6" borderId="9" xfId="174" applyNumberFormat="1" applyFill="1" applyBorder="1" applyAlignment="1">
      <alignment horizontal="center" vertical="center"/>
    </xf>
    <xf numFmtId="0" fontId="15" fillId="6" borderId="10" xfId="174" applyFill="1" applyBorder="1" applyAlignment="1">
      <alignment horizontal="center" vertical="center"/>
    </xf>
    <xf numFmtId="2" fontId="15" fillId="6" borderId="8" xfId="174" applyNumberFormat="1" applyFill="1" applyBorder="1" applyAlignment="1">
      <alignment horizontal="center" vertical="center"/>
    </xf>
    <xf numFmtId="2" fontId="15" fillId="6" borderId="10" xfId="174" applyNumberFormat="1" applyFill="1" applyBorder="1" applyAlignment="1">
      <alignment horizontal="center" vertical="center"/>
    </xf>
    <xf numFmtId="0" fontId="15" fillId="6" borderId="9" xfId="174" applyFill="1" applyBorder="1" applyAlignment="1">
      <alignment horizontal="center" vertical="center"/>
    </xf>
    <xf numFmtId="1" fontId="15" fillId="6" borderId="5" xfId="174" applyNumberFormat="1" applyFill="1" applyBorder="1" applyAlignment="1">
      <alignment horizontal="center" vertical="center"/>
    </xf>
    <xf numFmtId="0" fontId="15" fillId="5" borderId="17" xfId="174" applyFill="1" applyBorder="1" applyAlignment="1">
      <alignment horizontal="center"/>
    </xf>
    <xf numFmtId="0" fontId="15" fillId="5" borderId="0" xfId="174" applyFill="1" applyAlignment="1">
      <alignment horizontal="center"/>
    </xf>
    <xf numFmtId="0" fontId="15" fillId="5" borderId="18" xfId="174" applyFill="1" applyBorder="1" applyAlignment="1">
      <alignment horizontal="center"/>
    </xf>
    <xf numFmtId="0" fontId="15" fillId="4" borderId="0" xfId="174" applyFill="1" applyAlignment="1">
      <alignment horizontal="center" vertical="center"/>
    </xf>
    <xf numFmtId="2" fontId="15" fillId="6" borderId="0" xfId="174" applyNumberFormat="1" applyFill="1" applyAlignment="1">
      <alignment horizontal="center" vertical="center"/>
    </xf>
    <xf numFmtId="174" fontId="15" fillId="6" borderId="0" xfId="174" applyNumberFormat="1" applyFill="1" applyAlignment="1">
      <alignment horizontal="center" vertical="center"/>
    </xf>
    <xf numFmtId="0" fontId="15" fillId="6" borderId="12" xfId="174" applyFill="1" applyBorder="1" applyAlignment="1">
      <alignment horizontal="center" vertical="center"/>
    </xf>
    <xf numFmtId="0" fontId="15" fillId="7" borderId="6" xfId="174" applyFill="1" applyBorder="1" applyAlignment="1">
      <alignment horizontal="center" vertical="center"/>
    </xf>
    <xf numFmtId="2" fontId="15" fillId="6" borderId="11" xfId="174" applyNumberFormat="1" applyFill="1" applyBorder="1" applyAlignment="1">
      <alignment horizontal="center" vertical="center"/>
    </xf>
    <xf numFmtId="2" fontId="15" fillId="6" borderId="12" xfId="174" applyNumberFormat="1" applyFill="1" applyBorder="1" applyAlignment="1">
      <alignment horizontal="center" vertical="center"/>
    </xf>
    <xf numFmtId="1" fontId="15" fillId="6" borderId="6" xfId="174" applyNumberFormat="1" applyFill="1" applyBorder="1" applyAlignment="1">
      <alignment horizontal="center" vertical="center"/>
    </xf>
    <xf numFmtId="0" fontId="34" fillId="9" borderId="11" xfId="174" applyFont="1" applyFill="1" applyBorder="1" applyAlignment="1">
      <alignment horizontal="center" vertical="center"/>
    </xf>
    <xf numFmtId="0" fontId="34" fillId="9" borderId="0" xfId="174" applyFont="1" applyFill="1" applyAlignment="1">
      <alignment horizontal="center" vertical="center"/>
    </xf>
    <xf numFmtId="2" fontId="34" fillId="6" borderId="0" xfId="174" applyNumberFormat="1" applyFont="1" applyFill="1" applyAlignment="1">
      <alignment horizontal="center" vertical="center"/>
    </xf>
    <xf numFmtId="174" fontId="34" fillId="6" borderId="0" xfId="174" applyNumberFormat="1" applyFont="1" applyFill="1" applyAlignment="1">
      <alignment horizontal="center" vertical="center"/>
    </xf>
    <xf numFmtId="0" fontId="34" fillId="6" borderId="12" xfId="174" applyFont="1" applyFill="1" applyBorder="1" applyAlignment="1">
      <alignment horizontal="center" vertical="center"/>
    </xf>
    <xf numFmtId="2" fontId="34" fillId="6" borderId="11" xfId="174" applyNumberFormat="1" applyFont="1" applyFill="1" applyBorder="1" applyAlignment="1">
      <alignment horizontal="center" vertical="center"/>
    </xf>
    <xf numFmtId="2" fontId="34" fillId="6" borderId="12" xfId="174" applyNumberFormat="1" applyFont="1" applyFill="1" applyBorder="1" applyAlignment="1">
      <alignment horizontal="center" vertical="center"/>
    </xf>
    <xf numFmtId="0" fontId="34" fillId="6" borderId="0" xfId="174" applyFont="1" applyFill="1" applyAlignment="1">
      <alignment horizontal="center" vertical="center"/>
    </xf>
    <xf numFmtId="1" fontId="34" fillId="6" borderId="6" xfId="174" applyNumberFormat="1" applyFont="1" applyFill="1" applyBorder="1" applyAlignment="1">
      <alignment horizontal="center" vertical="center"/>
    </xf>
    <xf numFmtId="0" fontId="34" fillId="9" borderId="0" xfId="174" applyFont="1" applyFill="1"/>
    <xf numFmtId="0" fontId="34" fillId="6" borderId="0" xfId="174" applyFont="1" applyFill="1"/>
    <xf numFmtId="0" fontId="34" fillId="5" borderId="17" xfId="174" applyFont="1" applyFill="1" applyBorder="1" applyAlignment="1">
      <alignment horizontal="center"/>
    </xf>
    <xf numFmtId="0" fontId="34" fillId="5" borderId="0" xfId="174" applyFont="1" applyFill="1" applyAlignment="1">
      <alignment horizontal="center"/>
    </xf>
    <xf numFmtId="0" fontId="34" fillId="5" borderId="18" xfId="174" applyFont="1" applyFill="1" applyBorder="1" applyAlignment="1">
      <alignment horizontal="center"/>
    </xf>
    <xf numFmtId="0" fontId="34" fillId="0" borderId="0" xfId="174" applyFont="1"/>
    <xf numFmtId="0" fontId="15" fillId="4" borderId="14" xfId="174" applyFill="1" applyBorder="1" applyAlignment="1">
      <alignment horizontal="center" vertical="center"/>
    </xf>
    <xf numFmtId="2" fontId="15" fillId="6" borderId="14" xfId="174" applyNumberFormat="1" applyFill="1" applyBorder="1" applyAlignment="1">
      <alignment horizontal="center" vertical="center"/>
    </xf>
    <xf numFmtId="174" fontId="15" fillId="6" borderId="14" xfId="174" applyNumberFormat="1" applyFill="1" applyBorder="1" applyAlignment="1">
      <alignment horizontal="center" vertical="center"/>
    </xf>
    <xf numFmtId="0" fontId="15" fillId="7" borderId="7" xfId="174" applyFill="1" applyBorder="1" applyAlignment="1">
      <alignment horizontal="center" vertical="center"/>
    </xf>
    <xf numFmtId="2" fontId="15" fillId="6" borderId="13" xfId="174" applyNumberFormat="1" applyFill="1" applyBorder="1" applyAlignment="1">
      <alignment horizontal="center" vertical="center"/>
    </xf>
    <xf numFmtId="2" fontId="15" fillId="6" borderId="15" xfId="174" applyNumberFormat="1" applyFill="1" applyBorder="1" applyAlignment="1">
      <alignment horizontal="center" vertical="center"/>
    </xf>
    <xf numFmtId="1" fontId="15" fillId="6" borderId="7" xfId="174" applyNumberFormat="1" applyFill="1" applyBorder="1" applyAlignment="1">
      <alignment horizontal="center" vertical="center"/>
    </xf>
    <xf numFmtId="0" fontId="15" fillId="5" borderId="19" xfId="174" applyFill="1" applyBorder="1" applyAlignment="1">
      <alignment horizontal="center"/>
    </xf>
    <xf numFmtId="0" fontId="15" fillId="5" borderId="20" xfId="174" applyFill="1" applyBorder="1" applyAlignment="1">
      <alignment horizontal="center"/>
    </xf>
    <xf numFmtId="0" fontId="15" fillId="5" borderId="21" xfId="174" applyFill="1" applyBorder="1" applyAlignment="1">
      <alignment horizontal="center"/>
    </xf>
    <xf numFmtId="0" fontId="16" fillId="6" borderId="11" xfId="174" applyFont="1" applyFill="1" applyBorder="1" applyAlignment="1">
      <alignment horizontal="center" vertical="center"/>
    </xf>
    <xf numFmtId="0" fontId="16" fillId="6" borderId="0" xfId="174" applyFont="1" applyFill="1" applyAlignment="1">
      <alignment horizontal="center" vertical="center"/>
    </xf>
    <xf numFmtId="174" fontId="16" fillId="6" borderId="0" xfId="174" applyNumberFormat="1" applyFont="1" applyFill="1" applyAlignment="1">
      <alignment horizontal="center" vertical="center"/>
    </xf>
    <xf numFmtId="1" fontId="16" fillId="6" borderId="0" xfId="174" applyNumberFormat="1" applyFont="1" applyFill="1" applyAlignment="1">
      <alignment horizontal="center" vertical="center"/>
    </xf>
    <xf numFmtId="1" fontId="16" fillId="6" borderId="12" xfId="174" applyNumberFormat="1" applyFont="1" applyFill="1" applyBorder="1" applyAlignment="1">
      <alignment horizontal="center" vertical="center"/>
    </xf>
    <xf numFmtId="174" fontId="16" fillId="6" borderId="14" xfId="174" applyNumberFormat="1" applyFont="1" applyFill="1" applyBorder="1" applyAlignment="1">
      <alignment horizontal="center" vertical="center"/>
    </xf>
    <xf numFmtId="0" fontId="16" fillId="6" borderId="12" xfId="174" applyFont="1" applyFill="1" applyBorder="1" applyAlignment="1">
      <alignment horizontal="center" vertical="center"/>
    </xf>
    <xf numFmtId="0" fontId="16" fillId="6" borderId="14" xfId="174" applyFont="1" applyFill="1" applyBorder="1" applyAlignment="1">
      <alignment horizontal="center" vertical="center"/>
    </xf>
    <xf numFmtId="174" fontId="16" fillId="6" borderId="1" xfId="174" applyNumberFormat="1" applyFont="1" applyFill="1" applyBorder="1" applyAlignment="1">
      <alignment horizontal="center" vertical="center"/>
    </xf>
    <xf numFmtId="1" fontId="16" fillId="6" borderId="23" xfId="174" applyNumberFormat="1" applyFont="1" applyFill="1" applyBorder="1" applyAlignment="1">
      <alignment horizontal="center" vertical="center"/>
    </xf>
    <xf numFmtId="0" fontId="15" fillId="6" borderId="11" xfId="174" applyFill="1" applyBorder="1" applyAlignment="1">
      <alignment vertical="center"/>
    </xf>
    <xf numFmtId="0" fontId="15" fillId="6" borderId="12" xfId="174" applyFill="1" applyBorder="1" applyAlignment="1">
      <alignment vertical="center"/>
    </xf>
    <xf numFmtId="0" fontId="15" fillId="6" borderId="13" xfId="174" applyFill="1" applyBorder="1" applyAlignment="1">
      <alignment vertical="center"/>
    </xf>
    <xf numFmtId="0" fontId="15" fillId="6" borderId="14" xfId="174" applyFill="1" applyBorder="1" applyAlignment="1">
      <alignment vertical="center"/>
    </xf>
    <xf numFmtId="0" fontId="15" fillId="6" borderId="15" xfId="174" applyFill="1" applyBorder="1" applyAlignment="1">
      <alignment vertical="center"/>
    </xf>
    <xf numFmtId="0" fontId="16" fillId="0" borderId="28" xfId="174" applyFont="1" applyBorder="1"/>
    <xf numFmtId="0" fontId="15" fillId="0" borderId="29" xfId="174" applyBorder="1"/>
    <xf numFmtId="0" fontId="16" fillId="0" borderId="29" xfId="174" applyFont="1" applyBorder="1"/>
    <xf numFmtId="0" fontId="15" fillId="0" borderId="30" xfId="174" applyBorder="1"/>
    <xf numFmtId="0" fontId="15" fillId="0" borderId="17" xfId="174" applyBorder="1"/>
    <xf numFmtId="0" fontId="15" fillId="0" borderId="18" xfId="174" applyBorder="1"/>
    <xf numFmtId="0" fontId="17" fillId="0" borderId="17" xfId="174" applyFont="1" applyBorder="1"/>
    <xf numFmtId="0" fontId="16" fillId="0" borderId="17" xfId="174" applyFont="1" applyBorder="1"/>
    <xf numFmtId="0" fontId="16" fillId="0" borderId="0" xfId="174" applyFont="1"/>
    <xf numFmtId="0" fontId="35" fillId="0" borderId="0" xfId="174" applyFont="1" applyAlignment="1">
      <alignment horizontal="center"/>
    </xf>
    <xf numFmtId="0" fontId="16" fillId="5" borderId="17" xfId="174" applyFont="1" applyFill="1" applyBorder="1"/>
    <xf numFmtId="0" fontId="15" fillId="5" borderId="0" xfId="174" applyFill="1"/>
    <xf numFmtId="0" fontId="16" fillId="5" borderId="0" xfId="174" applyFont="1" applyFill="1"/>
    <xf numFmtId="0" fontId="16" fillId="10" borderId="0" xfId="174" applyFont="1" applyFill="1"/>
    <xf numFmtId="0" fontId="16" fillId="11" borderId="17" xfId="174" applyFont="1" applyFill="1" applyBorder="1"/>
    <xf numFmtId="0" fontId="15" fillId="11" borderId="0" xfId="174" applyFill="1"/>
    <xf numFmtId="0" fontId="16" fillId="11" borderId="0" xfId="174" applyFont="1" applyFill="1"/>
    <xf numFmtId="0" fontId="16" fillId="10" borderId="17" xfId="174" applyFont="1" applyFill="1" applyBorder="1"/>
    <xf numFmtId="0" fontId="15" fillId="10" borderId="0" xfId="174" applyFill="1"/>
    <xf numFmtId="0" fontId="16" fillId="12" borderId="0" xfId="174" applyFont="1" applyFill="1"/>
    <xf numFmtId="0" fontId="16" fillId="12" borderId="17" xfId="174" applyFont="1" applyFill="1" applyBorder="1"/>
    <xf numFmtId="0" fontId="15" fillId="12" borderId="0" xfId="174" applyFill="1"/>
    <xf numFmtId="0" fontId="16" fillId="13" borderId="0" xfId="174" applyFont="1" applyFill="1"/>
    <xf numFmtId="0" fontId="16" fillId="14" borderId="17" xfId="174" applyFont="1" applyFill="1" applyBorder="1"/>
    <xf numFmtId="0" fontId="15" fillId="14" borderId="0" xfId="174" applyFill="1"/>
    <xf numFmtId="0" fontId="16" fillId="14" borderId="0" xfId="174" applyFont="1" applyFill="1"/>
    <xf numFmtId="0" fontId="16" fillId="15" borderId="0" xfId="174" applyFont="1" applyFill="1"/>
    <xf numFmtId="0" fontId="16" fillId="13" borderId="17" xfId="174" applyFont="1" applyFill="1" applyBorder="1"/>
    <xf numFmtId="0" fontId="15" fillId="13" borderId="0" xfId="174" applyFill="1"/>
    <xf numFmtId="0" fontId="16" fillId="15" borderId="17" xfId="174" applyFont="1" applyFill="1" applyBorder="1"/>
    <xf numFmtId="0" fontId="15" fillId="15" borderId="0" xfId="174" applyFill="1"/>
    <xf numFmtId="0" fontId="15" fillId="0" borderId="19" xfId="174" applyBorder="1"/>
    <xf numFmtId="0" fontId="15" fillId="0" borderId="20" xfId="174" applyBorder="1"/>
    <xf numFmtId="0" fontId="15" fillId="0" borderId="21" xfId="174" applyBorder="1"/>
    <xf numFmtId="0" fontId="16" fillId="6" borderId="33" xfId="174" applyFont="1" applyFill="1" applyBorder="1" applyAlignment="1">
      <alignment horizontal="left"/>
    </xf>
    <xf numFmtId="0" fontId="16" fillId="6" borderId="34" xfId="174" applyFont="1" applyFill="1" applyBorder="1" applyAlignment="1">
      <alignment horizontal="center"/>
    </xf>
    <xf numFmtId="0" fontId="16" fillId="6" borderId="35" xfId="174" applyFont="1" applyFill="1" applyBorder="1" applyAlignment="1">
      <alignment horizontal="center"/>
    </xf>
    <xf numFmtId="0" fontId="16" fillId="6" borderId="2" xfId="174" applyFont="1" applyFill="1" applyBorder="1" applyAlignment="1">
      <alignment horizontal="center" vertical="center" wrapText="1"/>
    </xf>
    <xf numFmtId="0" fontId="16" fillId="6" borderId="3" xfId="174" applyFont="1" applyFill="1" applyBorder="1" applyAlignment="1">
      <alignment horizontal="center" vertical="center" wrapText="1"/>
    </xf>
    <xf numFmtId="0" fontId="16" fillId="6" borderId="4" xfId="174" applyFont="1" applyFill="1" applyBorder="1" applyAlignment="1">
      <alignment horizontal="center" vertical="center" wrapText="1"/>
    </xf>
    <xf numFmtId="0" fontId="16" fillId="6" borderId="1" xfId="174" applyFont="1" applyFill="1" applyBorder="1" applyAlignment="1">
      <alignment horizontal="center" vertical="center" wrapText="1"/>
    </xf>
    <xf numFmtId="0" fontId="16" fillId="6" borderId="36" xfId="174" applyFont="1" applyFill="1" applyBorder="1" applyAlignment="1">
      <alignment horizontal="center"/>
    </xf>
    <xf numFmtId="0" fontId="16" fillId="6" borderId="25" xfId="174" applyFont="1" applyFill="1" applyBorder="1" applyAlignment="1">
      <alignment horizontal="center"/>
    </xf>
    <xf numFmtId="0" fontId="16" fillId="6" borderId="37" xfId="174" applyFont="1" applyFill="1" applyBorder="1" applyAlignment="1">
      <alignment horizontal="center"/>
    </xf>
    <xf numFmtId="0" fontId="16" fillId="6" borderId="14" xfId="174" applyFont="1" applyFill="1" applyBorder="1" applyAlignment="1">
      <alignment horizontal="center"/>
    </xf>
    <xf numFmtId="173" fontId="15" fillId="6" borderId="10" xfId="174" applyNumberFormat="1" applyFill="1" applyBorder="1" applyAlignment="1">
      <alignment horizontal="center" vertical="center"/>
    </xf>
    <xf numFmtId="166" fontId="15" fillId="5" borderId="8" xfId="174" applyNumberFormat="1" applyFill="1" applyBorder="1" applyAlignment="1">
      <alignment horizontal="center" vertical="center"/>
    </xf>
    <xf numFmtId="174" fontId="15" fillId="6" borderId="11" xfId="174" applyNumberFormat="1" applyFill="1" applyBorder="1" applyAlignment="1">
      <alignment horizontal="center" vertical="center"/>
    </xf>
    <xf numFmtId="174" fontId="15" fillId="6" borderId="6" xfId="174" applyNumberFormat="1" applyFill="1" applyBorder="1" applyAlignment="1">
      <alignment horizontal="center" vertical="center"/>
    </xf>
    <xf numFmtId="2" fontId="15" fillId="6" borderId="5" xfId="174" applyNumberFormat="1" applyFill="1" applyBorder="1" applyAlignment="1">
      <alignment horizontal="center"/>
    </xf>
    <xf numFmtId="0" fontId="15" fillId="6" borderId="8" xfId="174" applyFill="1" applyBorder="1" applyAlignment="1">
      <alignment horizontal="center"/>
    </xf>
    <xf numFmtId="0" fontId="15" fillId="6" borderId="10" xfId="174" applyFill="1" applyBorder="1" applyAlignment="1">
      <alignment horizontal="center"/>
    </xf>
    <xf numFmtId="166" fontId="15" fillId="5" borderId="11" xfId="174" applyNumberFormat="1" applyFill="1" applyBorder="1" applyAlignment="1">
      <alignment horizontal="center" vertical="center"/>
    </xf>
    <xf numFmtId="2" fontId="15" fillId="6" borderId="6" xfId="174" applyNumberFormat="1" applyFill="1" applyBorder="1" applyAlignment="1">
      <alignment horizontal="center"/>
    </xf>
    <xf numFmtId="0" fontId="15" fillId="6" borderId="11" xfId="174" applyFill="1" applyBorder="1" applyAlignment="1">
      <alignment horizontal="center"/>
    </xf>
    <xf numFmtId="0" fontId="15" fillId="6" borderId="12" xfId="174" applyFill="1" applyBorder="1" applyAlignment="1">
      <alignment horizontal="center"/>
    </xf>
    <xf numFmtId="173" fontId="15" fillId="6" borderId="14" xfId="174" applyNumberFormat="1" applyFill="1" applyBorder="1" applyAlignment="1">
      <alignment horizontal="center" vertical="center"/>
    </xf>
    <xf numFmtId="0" fontId="15" fillId="6" borderId="14" xfId="174" applyFill="1" applyBorder="1" applyAlignment="1">
      <alignment horizontal="center" vertical="center"/>
    </xf>
    <xf numFmtId="166" fontId="15" fillId="6" borderId="13" xfId="174" applyNumberFormat="1" applyFill="1" applyBorder="1" applyAlignment="1">
      <alignment horizontal="center" vertical="center"/>
    </xf>
    <xf numFmtId="166" fontId="15" fillId="6" borderId="14" xfId="174" applyNumberFormat="1" applyFill="1" applyBorder="1" applyAlignment="1">
      <alignment horizontal="center" vertical="center"/>
    </xf>
    <xf numFmtId="166" fontId="15" fillId="6" borderId="15" xfId="174" applyNumberFormat="1" applyFill="1" applyBorder="1" applyAlignment="1">
      <alignment horizontal="center" vertical="center"/>
    </xf>
    <xf numFmtId="2" fontId="15" fillId="6" borderId="7" xfId="174" applyNumberFormat="1" applyFill="1" applyBorder="1" applyAlignment="1">
      <alignment horizontal="center"/>
    </xf>
    <xf numFmtId="0" fontId="15" fillId="6" borderId="13" xfId="174" applyFill="1" applyBorder="1" applyAlignment="1">
      <alignment horizontal="center"/>
    </xf>
    <xf numFmtId="0" fontId="15" fillId="6" borderId="14" xfId="174" applyFill="1" applyBorder="1" applyAlignment="1">
      <alignment horizontal="center"/>
    </xf>
    <xf numFmtId="0" fontId="15" fillId="6" borderId="15" xfId="174" applyFill="1" applyBorder="1" applyAlignment="1">
      <alignment horizontal="center"/>
    </xf>
    <xf numFmtId="174" fontId="16" fillId="6" borderId="2" xfId="174" applyNumberFormat="1" applyFont="1" applyFill="1" applyBorder="1" applyAlignment="1">
      <alignment horizontal="center" vertical="center"/>
    </xf>
    <xf numFmtId="0" fontId="16" fillId="6" borderId="13" xfId="174" applyFont="1" applyFill="1" applyBorder="1" applyAlignment="1">
      <alignment horizontal="center" vertical="center"/>
    </xf>
    <xf numFmtId="0" fontId="16" fillId="6" borderId="15" xfId="174" applyFont="1" applyFill="1" applyBorder="1" applyAlignment="1">
      <alignment horizontal="center" vertical="center"/>
    </xf>
    <xf numFmtId="174" fontId="15" fillId="6" borderId="13" xfId="174" applyNumberFormat="1" applyFill="1" applyBorder="1" applyAlignment="1">
      <alignment horizontal="center" vertical="center"/>
    </xf>
    <xf numFmtId="174" fontId="15" fillId="6" borderId="7" xfId="174" applyNumberFormat="1" applyFill="1" applyBorder="1" applyAlignment="1">
      <alignment horizontal="center" vertical="center"/>
    </xf>
    <xf numFmtId="174" fontId="15" fillId="6" borderId="15" xfId="174" applyNumberFormat="1" applyFill="1" applyBorder="1" applyAlignment="1">
      <alignment horizontal="center" vertical="center"/>
    </xf>
    <xf numFmtId="0" fontId="16" fillId="0" borderId="19" xfId="174" applyFont="1" applyBorder="1"/>
    <xf numFmtId="0" fontId="16" fillId="0" borderId="20" xfId="174" applyFont="1" applyBorder="1"/>
    <xf numFmtId="0" fontId="16" fillId="0" borderId="21" xfId="174" applyFont="1" applyBorder="1"/>
    <xf numFmtId="1" fontId="16" fillId="0" borderId="0" xfId="174" applyNumberFormat="1" applyFont="1"/>
    <xf numFmtId="1" fontId="15" fillId="0" borderId="0" xfId="174" applyNumberFormat="1"/>
    <xf numFmtId="0" fontId="15" fillId="0" borderId="0" xfId="174" applyAlignment="1">
      <alignment horizontal="right"/>
    </xf>
    <xf numFmtId="174" fontId="15" fillId="0" borderId="0" xfId="174" applyNumberFormat="1"/>
    <xf numFmtId="0" fontId="36" fillId="0" borderId="0" xfId="174" applyFont="1"/>
    <xf numFmtId="174" fontId="16" fillId="0" borderId="0" xfId="174" applyNumberFormat="1" applyFont="1"/>
    <xf numFmtId="174" fontId="16" fillId="0" borderId="1" xfId="174" applyNumberFormat="1" applyFont="1" applyBorder="1"/>
    <xf numFmtId="173" fontId="0" fillId="4" borderId="0" xfId="0" applyNumberForma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172" fontId="7" fillId="0" borderId="0" xfId="1" applyNumberFormat="1"/>
    <xf numFmtId="166" fontId="0" fillId="5" borderId="0" xfId="0" applyNumberFormat="1" applyFill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15" fillId="4" borderId="9" xfId="0" applyFont="1" applyFill="1" applyBorder="1" applyAlignment="1">
      <alignment horizontal="center" vertical="center"/>
    </xf>
    <xf numFmtId="0" fontId="0" fillId="5" borderId="0" xfId="0" applyFill="1" applyAlignment="1">
      <alignment horizontal="center"/>
    </xf>
    <xf numFmtId="0" fontId="0" fillId="4" borderId="0" xfId="0" applyFill="1" applyAlignment="1">
      <alignment horizontal="center" vertical="center"/>
    </xf>
    <xf numFmtId="0" fontId="15" fillId="4" borderId="0" xfId="0" applyFont="1" applyFill="1" applyAlignment="1">
      <alignment horizontal="center" vertical="center"/>
    </xf>
    <xf numFmtId="2" fontId="0" fillId="6" borderId="0" xfId="0" applyNumberFormat="1" applyFill="1" applyAlignment="1">
      <alignment horizontal="center" vertical="center"/>
    </xf>
    <xf numFmtId="174" fontId="0" fillId="6" borderId="0" xfId="0" applyNumberFormat="1" applyFill="1" applyAlignment="1">
      <alignment horizontal="center" vertical="center"/>
    </xf>
    <xf numFmtId="0" fontId="16" fillId="6" borderId="0" xfId="0" applyFont="1" applyFill="1" applyAlignment="1">
      <alignment horizontal="center" vertical="center"/>
    </xf>
    <xf numFmtId="174" fontId="16" fillId="6" borderId="0" xfId="0" applyNumberFormat="1" applyFont="1" applyFill="1" applyAlignment="1">
      <alignment horizontal="center" vertical="center"/>
    </xf>
    <xf numFmtId="1" fontId="16" fillId="6" borderId="0" xfId="0" applyNumberFormat="1" applyFont="1" applyFill="1" applyAlignment="1">
      <alignment horizontal="center" vertical="center"/>
    </xf>
    <xf numFmtId="0" fontId="16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166" fontId="0" fillId="0" borderId="1" xfId="0" applyNumberFormat="1" applyBorder="1" applyAlignment="1">
      <alignment horizontal="center"/>
    </xf>
    <xf numFmtId="166" fontId="8" fillId="0" borderId="1" xfId="0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66" fontId="0" fillId="0" borderId="1" xfId="0" applyNumberFormat="1" applyBorder="1" applyAlignment="1">
      <alignment horizontal="center" wrapText="1"/>
    </xf>
    <xf numFmtId="0" fontId="15" fillId="0" borderId="1" xfId="0" applyFont="1" applyBorder="1"/>
    <xf numFmtId="0" fontId="15" fillId="0" borderId="1" xfId="0" applyFont="1" applyBorder="1" applyAlignment="1">
      <alignment horizontal="center"/>
    </xf>
    <xf numFmtId="166" fontId="8" fillId="0" borderId="16" xfId="0" applyNumberFormat="1" applyFon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166" fontId="0" fillId="0" borderId="10" xfId="0" applyNumberFormat="1" applyBorder="1" applyAlignment="1">
      <alignment horizontal="center" wrapText="1"/>
    </xf>
    <xf numFmtId="166" fontId="8" fillId="0" borderId="22" xfId="0" applyNumberFormat="1" applyFont="1" applyBorder="1" applyAlignment="1">
      <alignment horizontal="center"/>
    </xf>
    <xf numFmtId="0" fontId="37" fillId="0" borderId="0" xfId="0" applyFont="1" applyAlignment="1">
      <alignment horizontal="right"/>
    </xf>
    <xf numFmtId="166" fontId="38" fillId="0" borderId="0" xfId="0" applyNumberFormat="1" applyFont="1"/>
    <xf numFmtId="174" fontId="38" fillId="0" borderId="27" xfId="0" applyNumberFormat="1" applyFont="1" applyBorder="1"/>
    <xf numFmtId="165" fontId="0" fillId="0" borderId="6" xfId="0" applyNumberFormat="1" applyBorder="1"/>
    <xf numFmtId="10" fontId="0" fillId="0" borderId="0" xfId="2" applyNumberFormat="1" applyFont="1" applyBorder="1"/>
    <xf numFmtId="0" fontId="40" fillId="0" borderId="0" xfId="0" applyFont="1"/>
    <xf numFmtId="9" fontId="0" fillId="0" borderId="12" xfId="0" applyNumberFormat="1" applyBorder="1"/>
    <xf numFmtId="0" fontId="40" fillId="0" borderId="11" xfId="0" applyFont="1" applyBorder="1"/>
    <xf numFmtId="167" fontId="0" fillId="0" borderId="11" xfId="1" applyNumberFormat="1" applyFont="1" applyBorder="1"/>
    <xf numFmtId="167" fontId="8" fillId="0" borderId="0" xfId="1" applyNumberFormat="1" applyFont="1"/>
    <xf numFmtId="167" fontId="7" fillId="0" borderId="0" xfId="1" applyNumberFormat="1" applyFont="1"/>
    <xf numFmtId="167" fontId="23" fillId="0" borderId="0" xfId="1" applyNumberFormat="1" applyFont="1"/>
    <xf numFmtId="167" fontId="0" fillId="0" borderId="13" xfId="1" applyNumberFormat="1" applyFont="1" applyBorder="1"/>
    <xf numFmtId="167" fontId="23" fillId="0" borderId="12" xfId="1" applyNumberFormat="1" applyFont="1" applyBorder="1"/>
    <xf numFmtId="0" fontId="15" fillId="0" borderId="0" xfId="252"/>
    <xf numFmtId="0" fontId="15" fillId="17" borderId="0" xfId="252" applyFill="1"/>
    <xf numFmtId="0" fontId="15" fillId="17" borderId="0" xfId="252" applyFill="1" applyAlignment="1">
      <alignment horizontal="center"/>
    </xf>
    <xf numFmtId="0" fontId="15" fillId="17" borderId="0" xfId="252" applyFill="1" applyAlignment="1">
      <alignment horizontal="center" vertical="center"/>
    </xf>
    <xf numFmtId="0" fontId="15" fillId="0" borderId="0" xfId="252" applyAlignment="1">
      <alignment vertical="center"/>
    </xf>
    <xf numFmtId="0" fontId="15" fillId="17" borderId="1" xfId="252" applyFill="1" applyBorder="1" applyAlignment="1">
      <alignment horizontal="center" vertical="center"/>
    </xf>
    <xf numFmtId="2" fontId="15" fillId="17" borderId="14" xfId="252" applyNumberFormat="1" applyFill="1" applyBorder="1" applyAlignment="1">
      <alignment horizontal="center" vertical="center"/>
    </xf>
    <xf numFmtId="173" fontId="15" fillId="17" borderId="1" xfId="252" applyNumberFormat="1" applyFill="1" applyBorder="1" applyAlignment="1">
      <alignment horizontal="center" vertical="center"/>
    </xf>
    <xf numFmtId="0" fontId="15" fillId="17" borderId="1" xfId="252" applyFill="1" applyBorder="1" applyAlignment="1">
      <alignment vertical="center"/>
    </xf>
    <xf numFmtId="2" fontId="15" fillId="17" borderId="0" xfId="252" applyNumberFormat="1" applyFill="1" applyAlignment="1">
      <alignment horizontal="center" vertical="center"/>
    </xf>
    <xf numFmtId="0" fontId="16" fillId="18" borderId="15" xfId="252" applyFont="1" applyFill="1" applyBorder="1"/>
    <xf numFmtId="0" fontId="16" fillId="18" borderId="14" xfId="252" applyFont="1" applyFill="1" applyBorder="1"/>
    <xf numFmtId="0" fontId="16" fillId="18" borderId="13" xfId="252" applyFont="1" applyFill="1" applyBorder="1"/>
    <xf numFmtId="0" fontId="16" fillId="18" borderId="10" xfId="252" applyFont="1" applyFill="1" applyBorder="1" applyAlignment="1">
      <alignment horizontal="center"/>
    </xf>
    <xf numFmtId="0" fontId="16" fillId="18" borderId="9" xfId="252" applyFont="1" applyFill="1" applyBorder="1" applyAlignment="1">
      <alignment horizontal="center"/>
    </xf>
    <xf numFmtId="0" fontId="16" fillId="18" borderId="8" xfId="252" applyFont="1" applyFill="1" applyBorder="1"/>
    <xf numFmtId="0" fontId="16" fillId="17" borderId="0" xfId="252" applyFont="1" applyFill="1" applyAlignment="1">
      <alignment horizontal="center"/>
    </xf>
    <xf numFmtId="0" fontId="16" fillId="17" borderId="0" xfId="252" applyFont="1" applyFill="1" applyAlignment="1">
      <alignment horizontal="center" vertical="center"/>
    </xf>
    <xf numFmtId="0" fontId="16" fillId="17" borderId="12" xfId="252" applyFont="1" applyFill="1" applyBorder="1"/>
    <xf numFmtId="0" fontId="16" fillId="17" borderId="0" xfId="252" applyFont="1" applyFill="1"/>
    <xf numFmtId="0" fontId="41" fillId="17" borderId="1" xfId="252" applyFont="1" applyFill="1" applyBorder="1"/>
    <xf numFmtId="0" fontId="15" fillId="17" borderId="0" xfId="252" applyFill="1" applyAlignment="1">
      <alignment vertical="center"/>
    </xf>
    <xf numFmtId="0" fontId="15" fillId="17" borderId="10" xfId="252" applyFill="1" applyBorder="1" applyAlignment="1">
      <alignment vertical="center"/>
    </xf>
    <xf numFmtId="0" fontId="15" fillId="17" borderId="9" xfId="252" applyFill="1" applyBorder="1" applyAlignment="1">
      <alignment vertical="center"/>
    </xf>
    <xf numFmtId="0" fontId="41" fillId="17" borderId="8" xfId="252" applyFont="1" applyFill="1" applyBorder="1"/>
    <xf numFmtId="0" fontId="15" fillId="17" borderId="15" xfId="252" applyFill="1" applyBorder="1" applyAlignment="1">
      <alignment vertical="center"/>
    </xf>
    <xf numFmtId="1" fontId="16" fillId="17" borderId="14" xfId="252" applyNumberFormat="1" applyFont="1" applyFill="1" applyBorder="1" applyAlignment="1">
      <alignment horizontal="center" vertical="center"/>
    </xf>
    <xf numFmtId="0" fontId="16" fillId="17" borderId="14" xfId="252" applyFont="1" applyFill="1" applyBorder="1" applyAlignment="1">
      <alignment horizontal="right" vertical="center"/>
    </xf>
    <xf numFmtId="0" fontId="15" fillId="17" borderId="14" xfId="252" applyFill="1" applyBorder="1" applyAlignment="1">
      <alignment horizontal="center" vertical="center"/>
    </xf>
    <xf numFmtId="0" fontId="15" fillId="17" borderId="14" xfId="252" applyFill="1" applyBorder="1" applyAlignment="1">
      <alignment vertical="center"/>
    </xf>
    <xf numFmtId="2" fontId="15" fillId="17" borderId="6" xfId="252" applyNumberFormat="1" applyFill="1" applyBorder="1" applyAlignment="1">
      <alignment horizontal="center" vertical="center"/>
    </xf>
    <xf numFmtId="173" fontId="15" fillId="17" borderId="12" xfId="252" applyNumberFormat="1" applyFill="1" applyBorder="1" applyAlignment="1">
      <alignment horizontal="center" vertical="center"/>
    </xf>
    <xf numFmtId="2" fontId="15" fillId="17" borderId="5" xfId="252" applyNumberFormat="1" applyFill="1" applyBorder="1" applyAlignment="1">
      <alignment horizontal="center" vertical="center"/>
    </xf>
    <xf numFmtId="173" fontId="15" fillId="17" borderId="10" xfId="252" applyNumberFormat="1" applyFill="1" applyBorder="1" applyAlignment="1">
      <alignment horizontal="center" vertical="center"/>
    </xf>
    <xf numFmtId="0" fontId="16" fillId="18" borderId="4" xfId="252" applyFont="1" applyFill="1" applyBorder="1" applyAlignment="1">
      <alignment horizontal="center" vertical="center" wrapText="1"/>
    </xf>
    <xf numFmtId="0" fontId="16" fillId="18" borderId="3" xfId="252" applyFont="1" applyFill="1" applyBorder="1" applyAlignment="1">
      <alignment horizontal="center" vertical="center" wrapText="1"/>
    </xf>
    <xf numFmtId="0" fontId="16" fillId="18" borderId="1" xfId="252" applyFont="1" applyFill="1" applyBorder="1" applyAlignment="1">
      <alignment horizontal="center" vertical="center" wrapText="1"/>
    </xf>
    <xf numFmtId="0" fontId="16" fillId="18" borderId="2" xfId="252" applyFont="1" applyFill="1" applyBorder="1" applyAlignment="1">
      <alignment horizontal="center" vertical="center" wrapText="1"/>
    </xf>
    <xf numFmtId="0" fontId="16" fillId="18" borderId="9" xfId="252" applyFont="1" applyFill="1" applyBorder="1" applyAlignment="1">
      <alignment horizontal="center" vertical="center" wrapText="1"/>
    </xf>
    <xf numFmtId="0" fontId="16" fillId="18" borderId="8" xfId="252" applyFont="1" applyFill="1" applyBorder="1" applyAlignment="1">
      <alignment horizontal="center" vertical="center" wrapText="1"/>
    </xf>
    <xf numFmtId="0" fontId="16" fillId="18" borderId="4" xfId="252" applyFont="1" applyFill="1" applyBorder="1"/>
    <xf numFmtId="0" fontId="16" fillId="18" borderId="3" xfId="252" applyFont="1" applyFill="1" applyBorder="1"/>
    <xf numFmtId="0" fontId="16" fillId="18" borderId="3" xfId="252" applyFont="1" applyFill="1" applyBorder="1" applyAlignment="1">
      <alignment horizontal="center"/>
    </xf>
    <xf numFmtId="0" fontId="16" fillId="18" borderId="3" xfId="252" applyFont="1" applyFill="1" applyBorder="1" applyAlignment="1">
      <alignment horizontal="center" vertical="center"/>
    </xf>
    <xf numFmtId="0" fontId="16" fillId="18" borderId="2" xfId="252" applyFont="1" applyFill="1" applyBorder="1"/>
    <xf numFmtId="0" fontId="16" fillId="17" borderId="5" xfId="252" applyFont="1" applyFill="1" applyBorder="1"/>
    <xf numFmtId="0" fontId="41" fillId="17" borderId="11" xfId="252" applyFont="1" applyFill="1" applyBorder="1"/>
    <xf numFmtId="14" fontId="16" fillId="17" borderId="0" xfId="252" applyNumberFormat="1" applyFont="1" applyFill="1" applyAlignment="1">
      <alignment horizontal="left"/>
    </xf>
    <xf numFmtId="0" fontId="15" fillId="17" borderId="11" xfId="252" applyFill="1" applyBorder="1"/>
    <xf numFmtId="0" fontId="15" fillId="17" borderId="9" xfId="252" applyFill="1" applyBorder="1"/>
    <xf numFmtId="0" fontId="15" fillId="17" borderId="9" xfId="252" applyFill="1" applyBorder="1" applyAlignment="1">
      <alignment horizontal="center"/>
    </xf>
    <xf numFmtId="0" fontId="15" fillId="17" borderId="9" xfId="252" applyFill="1" applyBorder="1" applyAlignment="1">
      <alignment horizontal="center" vertical="center"/>
    </xf>
    <xf numFmtId="0" fontId="15" fillId="17" borderId="8" xfId="252" applyFill="1" applyBorder="1"/>
    <xf numFmtId="0" fontId="15" fillId="17" borderId="5" xfId="252" applyFill="1" applyBorder="1" applyAlignment="1">
      <alignment horizontal="center" vertical="center"/>
    </xf>
    <xf numFmtId="173" fontId="15" fillId="17" borderId="5" xfId="252" applyNumberFormat="1" applyFill="1" applyBorder="1" applyAlignment="1">
      <alignment horizontal="center" vertical="center"/>
    </xf>
    <xf numFmtId="2" fontId="15" fillId="19" borderId="0" xfId="252" applyNumberFormat="1" applyFill="1" applyAlignment="1">
      <alignment horizontal="center" vertical="center"/>
    </xf>
    <xf numFmtId="2" fontId="15" fillId="19" borderId="9" xfId="252" applyNumberFormat="1" applyFill="1" applyBorder="1" applyAlignment="1">
      <alignment horizontal="center" vertical="center"/>
    </xf>
    <xf numFmtId="0" fontId="16" fillId="18" borderId="8" xfId="252" applyFont="1" applyFill="1" applyBorder="1" applyAlignment="1">
      <alignment horizontal="center"/>
    </xf>
    <xf numFmtId="0" fontId="16" fillId="17" borderId="12" xfId="252" applyFont="1" applyFill="1" applyBorder="1" applyAlignment="1">
      <alignment horizontal="center"/>
    </xf>
    <xf numFmtId="0" fontId="41" fillId="17" borderId="1" xfId="252" applyFont="1" applyFill="1" applyBorder="1" applyAlignment="1">
      <alignment horizontal="left"/>
    </xf>
    <xf numFmtId="0" fontId="41" fillId="17" borderId="8" xfId="252" applyFont="1" applyFill="1" applyBorder="1" applyAlignment="1">
      <alignment horizontal="left"/>
    </xf>
    <xf numFmtId="0" fontId="15" fillId="17" borderId="13" xfId="252" applyFill="1" applyBorder="1" applyAlignment="1">
      <alignment vertical="center"/>
    </xf>
    <xf numFmtId="0" fontId="15" fillId="17" borderId="12" xfId="252" applyFill="1" applyBorder="1" applyAlignment="1">
      <alignment vertical="center"/>
    </xf>
    <xf numFmtId="0" fontId="15" fillId="17" borderId="11" xfId="252" applyFill="1" applyBorder="1" applyAlignment="1">
      <alignment vertical="center"/>
    </xf>
    <xf numFmtId="0" fontId="15" fillId="0" borderId="0" xfId="252" applyAlignment="1">
      <alignment horizontal="center"/>
    </xf>
    <xf numFmtId="0" fontId="16" fillId="18" borderId="15" xfId="252" applyFont="1" applyFill="1" applyBorder="1" applyAlignment="1">
      <alignment horizontal="center" vertical="center" wrapText="1"/>
    </xf>
    <xf numFmtId="0" fontId="16" fillId="18" borderId="13" xfId="252" applyFont="1" applyFill="1" applyBorder="1" applyAlignment="1">
      <alignment horizontal="center" vertical="center" wrapText="1"/>
    </xf>
    <xf numFmtId="0" fontId="16" fillId="18" borderId="7" xfId="252" applyFont="1" applyFill="1" applyBorder="1" applyAlignment="1">
      <alignment horizontal="center" vertical="center" wrapText="1"/>
    </xf>
    <xf numFmtId="0" fontId="16" fillId="18" borderId="14" xfId="252" applyFont="1" applyFill="1" applyBorder="1" applyAlignment="1">
      <alignment horizontal="center" vertical="center" wrapText="1"/>
    </xf>
    <xf numFmtId="0" fontId="16" fillId="17" borderId="11" xfId="252" applyFont="1" applyFill="1" applyBorder="1" applyAlignment="1">
      <alignment horizontal="center"/>
    </xf>
    <xf numFmtId="0" fontId="16" fillId="18" borderId="5" xfId="252" applyFont="1" applyFill="1" applyBorder="1" applyAlignment="1">
      <alignment horizontal="center"/>
    </xf>
    <xf numFmtId="0" fontId="16" fillId="18" borderId="9" xfId="252" applyFont="1" applyFill="1" applyBorder="1" applyAlignment="1">
      <alignment horizontal="center" vertical="center"/>
    </xf>
    <xf numFmtId="0" fontId="16" fillId="17" borderId="1" xfId="252" applyFont="1" applyFill="1" applyBorder="1"/>
    <xf numFmtId="0" fontId="42" fillId="17" borderId="11" xfId="252" applyFont="1" applyFill="1" applyBorder="1"/>
    <xf numFmtId="0" fontId="15" fillId="17" borderId="12" xfId="252" applyFill="1" applyBorder="1"/>
    <xf numFmtId="0" fontId="15" fillId="17" borderId="0" xfId="252" applyFill="1" applyAlignment="1">
      <alignment horizontal="left"/>
    </xf>
    <xf numFmtId="0" fontId="15" fillId="17" borderId="10" xfId="252" applyFill="1" applyBorder="1"/>
    <xf numFmtId="0" fontId="16" fillId="17" borderId="9" xfId="252" applyFont="1" applyFill="1" applyBorder="1" applyAlignment="1">
      <alignment horizontal="center" vertical="center"/>
    </xf>
    <xf numFmtId="0" fontId="15" fillId="17" borderId="9" xfId="252" applyFill="1" applyBorder="1" applyAlignment="1">
      <alignment horizontal="left"/>
    </xf>
    <xf numFmtId="43" fontId="0" fillId="0" borderId="11" xfId="0" applyNumberFormat="1" applyBorder="1"/>
    <xf numFmtId="165" fontId="0" fillId="0" borderId="11" xfId="1" applyFont="1" applyBorder="1"/>
    <xf numFmtId="165" fontId="7" fillId="0" borderId="0" xfId="1"/>
    <xf numFmtId="165" fontId="7" fillId="0" borderId="6" xfId="1" applyBorder="1"/>
    <xf numFmtId="167" fontId="7" fillId="0" borderId="0" xfId="1" applyNumberFormat="1" applyAlignment="1">
      <alignment horizontal="center"/>
    </xf>
    <xf numFmtId="43" fontId="0" fillId="0" borderId="6" xfId="0" applyNumberFormat="1" applyBorder="1"/>
    <xf numFmtId="0" fontId="27" fillId="0" borderId="0" xfId="249" applyFont="1" applyAlignment="1">
      <alignment horizontal="center" vertical="center" wrapText="1"/>
    </xf>
    <xf numFmtId="0" fontId="25" fillId="0" borderId="0" xfId="249" applyAlignment="1">
      <alignment horizontal="center" vertical="center"/>
    </xf>
    <xf numFmtId="177" fontId="0" fillId="0" borderId="6" xfId="1" applyNumberFormat="1" applyFont="1" applyBorder="1"/>
    <xf numFmtId="177" fontId="0" fillId="0" borderId="7" xfId="1" applyNumberFormat="1" applyFont="1" applyBorder="1"/>
    <xf numFmtId="177" fontId="0" fillId="0" borderId="5" xfId="1" applyNumberFormat="1" applyFont="1" applyBorder="1"/>
    <xf numFmtId="177" fontId="8" fillId="0" borderId="6" xfId="1" applyNumberFormat="1" applyFont="1" applyBorder="1"/>
    <xf numFmtId="178" fontId="0" fillId="0" borderId="11" xfId="0" applyNumberFormat="1" applyBorder="1"/>
    <xf numFmtId="178" fontId="0" fillId="0" borderId="6" xfId="0" applyNumberFormat="1" applyBorder="1"/>
    <xf numFmtId="178" fontId="0" fillId="0" borderId="0" xfId="0" applyNumberFormat="1"/>
    <xf numFmtId="178" fontId="0" fillId="0" borderId="11" xfId="1" applyNumberFormat="1" applyFont="1" applyBorder="1"/>
    <xf numFmtId="178" fontId="0" fillId="0" borderId="6" xfId="1" applyNumberFormat="1" applyFont="1" applyBorder="1"/>
    <xf numFmtId="178" fontId="0" fillId="0" borderId="7" xfId="1" applyNumberFormat="1" applyFont="1" applyBorder="1"/>
    <xf numFmtId="178" fontId="0" fillId="0" borderId="5" xfId="1" applyNumberFormat="1" applyFont="1" applyBorder="1"/>
    <xf numFmtId="178" fontId="8" fillId="0" borderId="6" xfId="1" applyNumberFormat="1" applyFont="1" applyBorder="1"/>
    <xf numFmtId="176" fontId="0" fillId="0" borderId="0" xfId="250" applyNumberFormat="1" applyFont="1" applyFill="1" applyBorder="1" applyAlignment="1">
      <alignment horizontal="left" vertical="top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top"/>
    </xf>
    <xf numFmtId="176" fontId="27" fillId="0" borderId="0" xfId="250" applyNumberFormat="1" applyFont="1" applyFill="1" applyBorder="1" applyAlignment="1">
      <alignment horizontal="left" vertical="top"/>
    </xf>
    <xf numFmtId="176" fontId="0" fillId="0" borderId="27" xfId="250" applyNumberFormat="1" applyFont="1" applyFill="1" applyBorder="1" applyAlignment="1">
      <alignment horizontal="left" vertical="top"/>
    </xf>
    <xf numFmtId="43" fontId="0" fillId="0" borderId="0" xfId="250" applyFont="1" applyFill="1" applyBorder="1" applyAlignment="1">
      <alignment horizontal="left" vertical="top"/>
    </xf>
    <xf numFmtId="10" fontId="0" fillId="0" borderId="0" xfId="2" applyNumberFormat="1" applyFont="1" applyFill="1" applyBorder="1" applyAlignment="1">
      <alignment horizontal="left" vertical="top"/>
    </xf>
    <xf numFmtId="176" fontId="0" fillId="0" borderId="0" xfId="0" applyNumberFormat="1" applyAlignment="1">
      <alignment horizontal="left" vertical="top"/>
    </xf>
    <xf numFmtId="0" fontId="45" fillId="0" borderId="41" xfId="0" applyFont="1" applyBorder="1" applyAlignment="1">
      <alignment horizontal="left" vertical="center"/>
    </xf>
    <xf numFmtId="0" fontId="46" fillId="0" borderId="44" xfId="0" applyFont="1" applyBorder="1" applyAlignment="1">
      <alignment horizontal="left" vertical="center"/>
    </xf>
    <xf numFmtId="0" fontId="0" fillId="0" borderId="44" xfId="0" applyBorder="1"/>
    <xf numFmtId="0" fontId="0" fillId="0" borderId="45" xfId="0" applyBorder="1"/>
    <xf numFmtId="0" fontId="47" fillId="20" borderId="44" xfId="0" applyFont="1" applyFill="1" applyBorder="1" applyAlignment="1">
      <alignment horizontal="left" vertical="center"/>
    </xf>
    <xf numFmtId="0" fontId="47" fillId="20" borderId="46" xfId="0" applyFont="1" applyFill="1" applyBorder="1" applyAlignment="1">
      <alignment horizontal="center" vertical="center"/>
    </xf>
    <xf numFmtId="0" fontId="47" fillId="20" borderId="0" xfId="0" applyFont="1" applyFill="1" applyAlignment="1">
      <alignment horizontal="center" vertical="center"/>
    </xf>
    <xf numFmtId="0" fontId="47" fillId="20" borderId="45" xfId="0" applyFont="1" applyFill="1" applyBorder="1" applyAlignment="1">
      <alignment horizontal="center" vertical="center"/>
    </xf>
    <xf numFmtId="179" fontId="0" fillId="0" borderId="44" xfId="0" applyNumberFormat="1" applyBorder="1" applyAlignment="1">
      <alignment horizontal="right" vertical="center"/>
    </xf>
    <xf numFmtId="180" fontId="0" fillId="0" borderId="44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5" xfId="0" applyBorder="1" applyAlignment="1">
      <alignment horizontal="center" vertical="center"/>
    </xf>
    <xf numFmtId="181" fontId="0" fillId="0" borderId="44" xfId="0" applyNumberFormat="1" applyBorder="1" applyAlignment="1">
      <alignment horizontal="center" vertical="center"/>
    </xf>
    <xf numFmtId="179" fontId="0" fillId="0" borderId="47" xfId="0" applyNumberFormat="1" applyBorder="1" applyAlignment="1">
      <alignment horizontal="right" vertical="center"/>
    </xf>
    <xf numFmtId="0" fontId="0" fillId="0" borderId="47" xfId="0" applyBorder="1"/>
    <xf numFmtId="0" fontId="0" fillId="0" borderId="46" xfId="0" applyBorder="1"/>
    <xf numFmtId="180" fontId="0" fillId="0" borderId="47" xfId="0" applyNumberFormat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166" fontId="0" fillId="0" borderId="11" xfId="0" applyNumberFormat="1" applyBorder="1"/>
    <xf numFmtId="0" fontId="8" fillId="2" borderId="1" xfId="0" applyFont="1" applyFill="1" applyBorder="1" applyAlignment="1">
      <alignment horizontal="center"/>
    </xf>
    <xf numFmtId="0" fontId="48" fillId="0" borderId="6" xfId="0" applyFont="1" applyBorder="1" applyAlignment="1">
      <alignment horizontal="center"/>
    </xf>
    <xf numFmtId="2" fontId="0" fillId="0" borderId="6" xfId="0" applyNumberFormat="1" applyBorder="1"/>
    <xf numFmtId="0" fontId="48" fillId="0" borderId="6" xfId="0" applyFont="1" applyBorder="1"/>
    <xf numFmtId="2" fontId="0" fillId="16" borderId="1" xfId="0" applyNumberFormat="1" applyFill="1" applyBorder="1"/>
    <xf numFmtId="182" fontId="0" fillId="0" borderId="0" xfId="0" applyNumberFormat="1"/>
    <xf numFmtId="0" fontId="49" fillId="0" borderId="49" xfId="0" applyFont="1" applyBorder="1" applyAlignment="1">
      <alignment vertical="center"/>
    </xf>
    <xf numFmtId="0" fontId="49" fillId="0" borderId="49" xfId="0" applyFont="1" applyBorder="1" applyAlignment="1">
      <alignment horizontal="right" vertical="center"/>
    </xf>
    <xf numFmtId="3" fontId="49" fillId="0" borderId="49" xfId="0" applyNumberFormat="1" applyFont="1" applyBorder="1" applyAlignment="1">
      <alignment horizontal="right" vertical="center"/>
    </xf>
    <xf numFmtId="0" fontId="0" fillId="0" borderId="28" xfId="0" applyBorder="1"/>
    <xf numFmtId="0" fontId="0" fillId="0" borderId="29" xfId="0" applyBorder="1"/>
    <xf numFmtId="0" fontId="0" fillId="0" borderId="29" xfId="0" applyBorder="1" applyAlignment="1">
      <alignment vertical="top"/>
    </xf>
    <xf numFmtId="165" fontId="0" fillId="0" borderId="50" xfId="1" applyFont="1" applyBorder="1"/>
    <xf numFmtId="165" fontId="0" fillId="0" borderId="30" xfId="1" applyFont="1" applyBorder="1"/>
    <xf numFmtId="0" fontId="0" fillId="0" borderId="17" xfId="0" applyBorder="1"/>
    <xf numFmtId="165" fontId="0" fillId="0" borderId="18" xfId="1" applyFont="1" applyBorder="1"/>
    <xf numFmtId="0" fontId="10" fillId="0" borderId="0" xfId="253" applyBorder="1"/>
    <xf numFmtId="0" fontId="0" fillId="0" borderId="19" xfId="0" applyBorder="1"/>
    <xf numFmtId="2" fontId="0" fillId="0" borderId="20" xfId="0" applyNumberFormat="1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20" xfId="0" applyBorder="1"/>
    <xf numFmtId="165" fontId="0" fillId="0" borderId="51" xfId="1" applyFont="1" applyBorder="1"/>
    <xf numFmtId="165" fontId="0" fillId="0" borderId="21" xfId="1" applyFont="1" applyBorder="1"/>
    <xf numFmtId="0" fontId="8" fillId="0" borderId="49" xfId="0" applyFont="1" applyBorder="1" applyAlignment="1">
      <alignment horizontal="center" vertical="center"/>
    </xf>
    <xf numFmtId="1" fontId="8" fillId="0" borderId="49" xfId="0" applyNumberFormat="1" applyFont="1" applyBorder="1" applyAlignment="1">
      <alignment horizontal="center" vertical="center"/>
    </xf>
    <xf numFmtId="1" fontId="8" fillId="0" borderId="49" xfId="1" applyNumberFormat="1" applyFont="1" applyBorder="1" applyAlignment="1">
      <alignment horizontal="center" vertical="center"/>
    </xf>
    <xf numFmtId="167" fontId="8" fillId="0" borderId="49" xfId="1" applyNumberFormat="1" applyFont="1" applyBorder="1" applyAlignment="1">
      <alignment horizontal="center" vertical="center"/>
    </xf>
    <xf numFmtId="165" fontId="8" fillId="0" borderId="49" xfId="1" applyFont="1" applyBorder="1" applyAlignment="1">
      <alignment horizontal="center" vertical="center"/>
    </xf>
    <xf numFmtId="167" fontId="8" fillId="0" borderId="49" xfId="1" applyNumberFormat="1" applyFont="1" applyBorder="1" applyAlignment="1">
      <alignment vertical="center"/>
    </xf>
    <xf numFmtId="0" fontId="0" fillId="0" borderId="55" xfId="0" applyBorder="1"/>
    <xf numFmtId="178" fontId="0" fillId="0" borderId="55" xfId="0" applyNumberFormat="1" applyBorder="1"/>
    <xf numFmtId="178" fontId="0" fillId="0" borderId="13" xfId="0" applyNumberFormat="1" applyBorder="1"/>
    <xf numFmtId="178" fontId="0" fillId="0" borderId="7" xfId="0" applyNumberFormat="1" applyBorder="1"/>
    <xf numFmtId="178" fontId="0" fillId="0" borderId="14" xfId="0" applyNumberFormat="1" applyBorder="1"/>
    <xf numFmtId="178" fontId="0" fillId="0" borderId="15" xfId="0" applyNumberFormat="1" applyBorder="1"/>
    <xf numFmtId="165" fontId="25" fillId="0" borderId="0" xfId="1" applyFont="1" applyAlignment="1">
      <alignment horizontal="left" vertical="top"/>
    </xf>
    <xf numFmtId="0" fontId="50" fillId="0" borderId="0" xfId="0" applyFont="1"/>
    <xf numFmtId="0" fontId="50" fillId="0" borderId="0" xfId="0" applyFont="1" applyAlignment="1">
      <alignment vertical="top" wrapText="1"/>
    </xf>
    <xf numFmtId="0" fontId="50" fillId="0" borderId="12" xfId="0" applyFont="1" applyBorder="1" applyAlignment="1">
      <alignment vertical="top" wrapText="1"/>
    </xf>
    <xf numFmtId="0" fontId="50" fillId="0" borderId="0" xfId="0" applyFont="1" applyAlignment="1">
      <alignment vertical="top"/>
    </xf>
    <xf numFmtId="165" fontId="8" fillId="0" borderId="0" xfId="0" applyNumberFormat="1" applyFont="1"/>
    <xf numFmtId="165" fontId="8" fillId="0" borderId="49" xfId="1" applyFont="1" applyBorder="1" applyAlignment="1">
      <alignment vertical="center"/>
    </xf>
    <xf numFmtId="0" fontId="0" fillId="21" borderId="0" xfId="0" applyFill="1" applyAlignment="1">
      <alignment horizontal="centerContinuous"/>
    </xf>
    <xf numFmtId="165" fontId="29" fillId="21" borderId="0" xfId="103" applyFont="1" applyFill="1" applyAlignment="1">
      <alignment horizontal="centerContinuous"/>
    </xf>
    <xf numFmtId="0" fontId="29" fillId="21" borderId="0" xfId="102" applyFont="1" applyFill="1" applyAlignment="1">
      <alignment horizontal="centerContinuous"/>
    </xf>
    <xf numFmtId="165" fontId="48" fillId="22" borderId="0" xfId="103" applyFont="1" applyFill="1"/>
    <xf numFmtId="2" fontId="31" fillId="8" borderId="49" xfId="102" applyNumberFormat="1" applyFont="1" applyFill="1" applyBorder="1"/>
    <xf numFmtId="0" fontId="31" fillId="8" borderId="49" xfId="102" applyFont="1" applyFill="1" applyBorder="1" applyAlignment="1">
      <alignment horizontal="center"/>
    </xf>
    <xf numFmtId="165" fontId="29" fillId="21" borderId="49" xfId="103" applyFont="1" applyFill="1" applyBorder="1"/>
    <xf numFmtId="0" fontId="29" fillId="0" borderId="0" xfId="102" applyFont="1" applyAlignment="1">
      <alignment wrapText="1"/>
    </xf>
    <xf numFmtId="172" fontId="29" fillId="21" borderId="0" xfId="103" applyNumberFormat="1" applyFont="1" applyFill="1"/>
    <xf numFmtId="165" fontId="29" fillId="0" borderId="0" xfId="103" applyFont="1" applyFill="1"/>
    <xf numFmtId="165" fontId="29" fillId="22" borderId="0" xfId="103" applyFont="1" applyFill="1"/>
    <xf numFmtId="183" fontId="0" fillId="0" borderId="49" xfId="254" applyFont="1" applyBorder="1"/>
    <xf numFmtId="172" fontId="29" fillId="0" borderId="0" xfId="103" applyNumberFormat="1" applyFont="1" applyBorder="1"/>
    <xf numFmtId="165" fontId="29" fillId="0" borderId="0" xfId="103" applyFont="1" applyBorder="1"/>
    <xf numFmtId="165" fontId="29" fillId="21" borderId="0" xfId="103" applyFont="1" applyFill="1"/>
    <xf numFmtId="167" fontId="29" fillId="21" borderId="49" xfId="103" applyNumberFormat="1" applyFont="1" applyFill="1" applyBorder="1"/>
    <xf numFmtId="165" fontId="29" fillId="0" borderId="49" xfId="103" applyFont="1" applyBorder="1"/>
    <xf numFmtId="0" fontId="51" fillId="0" borderId="0" xfId="102" applyFont="1"/>
    <xf numFmtId="165" fontId="29" fillId="16" borderId="0" xfId="102" applyNumberFormat="1" applyFont="1" applyFill="1"/>
    <xf numFmtId="167" fontId="29" fillId="0" borderId="0" xfId="103" applyNumberFormat="1" applyFont="1" applyBorder="1" applyAlignment="1">
      <alignment horizontal="center"/>
    </xf>
    <xf numFmtId="0" fontId="7" fillId="0" borderId="0" xfId="54"/>
    <xf numFmtId="17" fontId="7" fillId="0" borderId="0" xfId="54" applyNumberFormat="1" applyAlignment="1">
      <alignment horizontal="left"/>
    </xf>
    <xf numFmtId="0" fontId="8" fillId="0" borderId="0" xfId="54" applyFont="1"/>
    <xf numFmtId="184" fontId="7" fillId="0" borderId="0" xfId="54" applyNumberFormat="1"/>
    <xf numFmtId="44" fontId="7" fillId="0" borderId="0" xfId="54" applyNumberFormat="1"/>
    <xf numFmtId="185" fontId="52" fillId="0" borderId="0" xfId="251" applyNumberFormat="1" applyFont="1"/>
    <xf numFmtId="44" fontId="53" fillId="0" borderId="0" xfId="255" applyFont="1" applyAlignment="1">
      <alignment horizontal="center"/>
    </xf>
    <xf numFmtId="44" fontId="53" fillId="0" borderId="0" xfId="255" applyFont="1"/>
    <xf numFmtId="176" fontId="53" fillId="0" borderId="0" xfId="250" applyNumberFormat="1" applyFont="1"/>
    <xf numFmtId="17" fontId="52" fillId="0" borderId="0" xfId="54" applyNumberFormat="1" applyFont="1"/>
    <xf numFmtId="0" fontId="54" fillId="0" borderId="0" xfId="249" applyFont="1" applyAlignment="1">
      <alignment horizontal="left" vertical="top"/>
    </xf>
    <xf numFmtId="0" fontId="7" fillId="23" borderId="0" xfId="54" applyFill="1"/>
    <xf numFmtId="0" fontId="8" fillId="23" borderId="0" xfId="54" applyFont="1" applyFill="1" applyAlignment="1">
      <alignment horizontal="center" vertical="center"/>
    </xf>
    <xf numFmtId="174" fontId="8" fillId="17" borderId="0" xfId="54" applyNumberFormat="1" applyFont="1" applyFill="1" applyAlignment="1">
      <alignment horizontal="center"/>
    </xf>
    <xf numFmtId="0" fontId="55" fillId="0" borderId="49" xfId="54" applyFont="1" applyBorder="1" applyAlignment="1">
      <alignment horizontal="center" vertical="center"/>
    </xf>
    <xf numFmtId="0" fontId="7" fillId="0" borderId="49" xfId="54" applyBorder="1" applyAlignment="1">
      <alignment horizontal="center"/>
    </xf>
    <xf numFmtId="0" fontId="8" fillId="24" borderId="49" xfId="54" applyFont="1" applyFill="1" applyBorder="1"/>
    <xf numFmtId="0" fontId="7" fillId="0" borderId="49" xfId="54" applyBorder="1" applyAlignment="1">
      <alignment horizontal="center" vertical="center"/>
    </xf>
    <xf numFmtId="0" fontId="56" fillId="0" borderId="49" xfId="54" applyFont="1" applyBorder="1" applyAlignment="1">
      <alignment horizontal="center" vertical="center"/>
    </xf>
    <xf numFmtId="0" fontId="8" fillId="24" borderId="49" xfId="54" applyFont="1" applyFill="1" applyBorder="1" applyAlignment="1">
      <alignment horizontal="center"/>
    </xf>
    <xf numFmtId="0" fontId="7" fillId="24" borderId="49" xfId="54" applyFill="1" applyBorder="1"/>
    <xf numFmtId="0" fontId="0" fillId="0" borderId="57" xfId="54" applyFont="1" applyBorder="1"/>
    <xf numFmtId="0" fontId="7" fillId="25" borderId="0" xfId="54" applyFill="1"/>
    <xf numFmtId="0" fontId="0" fillId="0" borderId="58" xfId="54" applyFont="1" applyBorder="1"/>
    <xf numFmtId="0" fontId="7" fillId="26" borderId="0" xfId="54" applyFill="1"/>
    <xf numFmtId="0" fontId="25" fillId="0" borderId="56" xfId="54" applyFont="1" applyBorder="1"/>
    <xf numFmtId="0" fontId="8" fillId="0" borderId="59" xfId="54" applyFont="1" applyBorder="1"/>
    <xf numFmtId="0" fontId="7" fillId="0" borderId="2" xfId="54" applyBorder="1"/>
    <xf numFmtId="0" fontId="8" fillId="0" borderId="49" xfId="54" applyFont="1" applyBorder="1"/>
    <xf numFmtId="0" fontId="7" fillId="0" borderId="49" xfId="54" applyBorder="1"/>
    <xf numFmtId="0" fontId="8" fillId="27" borderId="59" xfId="54" applyFont="1" applyFill="1" applyBorder="1"/>
    <xf numFmtId="0" fontId="7" fillId="0" borderId="59" xfId="54" applyBorder="1" applyAlignment="1">
      <alignment horizontal="center"/>
    </xf>
    <xf numFmtId="0" fontId="7" fillId="0" borderId="2" xfId="54" applyBorder="1" applyAlignment="1">
      <alignment horizontal="center"/>
    </xf>
    <xf numFmtId="0" fontId="7" fillId="0" borderId="60" xfId="54" applyBorder="1" applyAlignment="1">
      <alignment horizontal="center" wrapText="1"/>
    </xf>
    <xf numFmtId="0" fontId="7" fillId="0" borderId="3" xfId="54" applyBorder="1" applyAlignment="1">
      <alignment horizontal="center" wrapText="1"/>
    </xf>
    <xf numFmtId="0" fontId="8" fillId="17" borderId="0" xfId="54" applyFont="1" applyFill="1" applyAlignment="1">
      <alignment horizontal="center"/>
    </xf>
    <xf numFmtId="0" fontId="7" fillId="0" borderId="59" xfId="54" applyBorder="1"/>
    <xf numFmtId="0" fontId="7" fillId="17" borderId="59" xfId="54" applyFill="1" applyBorder="1"/>
    <xf numFmtId="0" fontId="7" fillId="17" borderId="49" xfId="54" applyFill="1" applyBorder="1"/>
    <xf numFmtId="0" fontId="7" fillId="0" borderId="61" xfId="54" applyBorder="1" applyAlignment="1">
      <alignment horizontal="center"/>
    </xf>
    <xf numFmtId="0" fontId="8" fillId="0" borderId="59" xfId="54" applyFont="1" applyBorder="1" applyAlignment="1">
      <alignment horizontal="center"/>
    </xf>
    <xf numFmtId="0" fontId="8" fillId="0" borderId="61" xfId="54" applyFont="1" applyBorder="1" applyAlignment="1">
      <alignment horizontal="center"/>
    </xf>
    <xf numFmtId="0" fontId="0" fillId="0" borderId="63" xfId="54" applyFont="1" applyBorder="1"/>
    <xf numFmtId="0" fontId="7" fillId="17" borderId="49" xfId="54" applyFill="1" applyBorder="1" applyAlignment="1">
      <alignment horizontal="center"/>
    </xf>
    <xf numFmtId="0" fontId="8" fillId="0" borderId="49" xfId="54" applyFont="1" applyBorder="1" applyAlignment="1">
      <alignment horizontal="center"/>
    </xf>
    <xf numFmtId="0" fontId="0" fillId="0" borderId="64" xfId="54" applyFont="1" applyBorder="1"/>
    <xf numFmtId="0" fontId="7" fillId="17" borderId="59" xfId="54" applyFill="1" applyBorder="1" applyAlignment="1">
      <alignment horizontal="center"/>
    </xf>
    <xf numFmtId="0" fontId="8" fillId="0" borderId="49" xfId="54" applyFont="1" applyBorder="1" applyAlignment="1">
      <alignment horizontal="center" wrapText="1"/>
    </xf>
    <xf numFmtId="0" fontId="7" fillId="0" borderId="2" xfId="54" applyBorder="1" applyAlignment="1">
      <alignment horizontal="center" wrapText="1"/>
    </xf>
    <xf numFmtId="0" fontId="8" fillId="22" borderId="49" xfId="54" applyFont="1" applyFill="1" applyBorder="1" applyAlignment="1">
      <alignment horizontal="center"/>
    </xf>
    <xf numFmtId="0" fontId="0" fillId="0" borderId="56" xfId="54" applyFont="1" applyBorder="1"/>
    <xf numFmtId="0" fontId="7" fillId="0" borderId="57" xfId="54" applyBorder="1"/>
    <xf numFmtId="0" fontId="7" fillId="0" borderId="65" xfId="54" applyBorder="1"/>
    <xf numFmtId="0" fontId="7" fillId="0" borderId="36" xfId="54" applyBorder="1"/>
    <xf numFmtId="0" fontId="7" fillId="0" borderId="66" xfId="54" applyBorder="1"/>
    <xf numFmtId="0" fontId="7" fillId="0" borderId="66" xfId="54" applyBorder="1" applyAlignment="1">
      <alignment horizontal="center"/>
    </xf>
    <xf numFmtId="0" fontId="7" fillId="0" borderId="65" xfId="54" applyBorder="1" applyAlignment="1">
      <alignment horizontal="center"/>
    </xf>
    <xf numFmtId="0" fontId="7" fillId="0" borderId="36" xfId="54" applyBorder="1" applyAlignment="1">
      <alignment horizontal="center"/>
    </xf>
    <xf numFmtId="0" fontId="8" fillId="17" borderId="56" xfId="54" applyFont="1" applyFill="1" applyBorder="1" applyAlignment="1">
      <alignment vertical="center" wrapText="1"/>
    </xf>
    <xf numFmtId="0" fontId="8" fillId="24" borderId="5" xfId="54" applyFont="1" applyFill="1" applyBorder="1"/>
    <xf numFmtId="0" fontId="8" fillId="24" borderId="24" xfId="54" applyFont="1" applyFill="1" applyBorder="1" applyAlignment="1">
      <alignment horizontal="center" vertical="center" wrapText="1"/>
    </xf>
    <xf numFmtId="0" fontId="57" fillId="17" borderId="0" xfId="54" applyFont="1" applyFill="1" applyAlignment="1">
      <alignment horizontal="center"/>
    </xf>
    <xf numFmtId="167" fontId="0" fillId="0" borderId="0" xfId="1" applyNumberFormat="1" applyFont="1" applyBorder="1"/>
    <xf numFmtId="167" fontId="0" fillId="0" borderId="0" xfId="1" applyNumberFormat="1" applyFont="1" applyFill="1" applyBorder="1"/>
    <xf numFmtId="167" fontId="0" fillId="0" borderId="14" xfId="1" applyNumberFormat="1" applyFont="1" applyFill="1" applyBorder="1"/>
    <xf numFmtId="167" fontId="0" fillId="0" borderId="3" xfId="1" applyNumberFormat="1" applyFont="1" applyBorder="1"/>
    <xf numFmtId="167" fontId="0" fillId="0" borderId="0" xfId="1" quotePrefix="1" applyNumberFormat="1" applyFont="1" applyBorder="1"/>
    <xf numFmtId="165" fontId="8" fillId="0" borderId="12" xfId="0" applyNumberFormat="1" applyFont="1" applyBorder="1" applyAlignment="1">
      <alignment horizontal="center" vertical="top" wrapText="1"/>
    </xf>
    <xf numFmtId="43" fontId="8" fillId="0" borderId="12" xfId="0" applyNumberFormat="1" applyFont="1" applyBorder="1" applyAlignment="1">
      <alignment horizontal="center" vertical="top" wrapText="1"/>
    </xf>
    <xf numFmtId="0" fontId="15" fillId="0" borderId="0" xfId="252" applyAlignment="1">
      <alignment horizontal="right"/>
    </xf>
    <xf numFmtId="0" fontId="15" fillId="28" borderId="71" xfId="252" applyFill="1" applyBorder="1"/>
    <xf numFmtId="0" fontId="15" fillId="28" borderId="72" xfId="252" applyFill="1" applyBorder="1"/>
    <xf numFmtId="0" fontId="15" fillId="28" borderId="73" xfId="252" applyFill="1" applyBorder="1" applyAlignment="1">
      <alignment horizontal="right"/>
    </xf>
    <xf numFmtId="0" fontId="15" fillId="28" borderId="74" xfId="252" applyFill="1" applyBorder="1"/>
    <xf numFmtId="0" fontId="15" fillId="28" borderId="0" xfId="252" applyFill="1"/>
    <xf numFmtId="174" fontId="15" fillId="28" borderId="0" xfId="252" applyNumberFormat="1" applyFill="1" applyAlignment="1">
      <alignment horizontal="center"/>
    </xf>
    <xf numFmtId="0" fontId="15" fillId="28" borderId="75" xfId="252" applyFill="1" applyBorder="1" applyAlignment="1">
      <alignment horizontal="right"/>
    </xf>
    <xf numFmtId="174" fontId="16" fillId="28" borderId="0" xfId="252" applyNumberFormat="1" applyFont="1" applyFill="1" applyAlignment="1">
      <alignment horizontal="center"/>
    </xf>
    <xf numFmtId="0" fontId="16" fillId="28" borderId="75" xfId="252" applyFont="1" applyFill="1" applyBorder="1" applyAlignment="1">
      <alignment horizontal="right"/>
    </xf>
    <xf numFmtId="166" fontId="15" fillId="28" borderId="0" xfId="252" applyNumberFormat="1" applyFill="1" applyAlignment="1">
      <alignment horizontal="center"/>
    </xf>
    <xf numFmtId="0" fontId="15" fillId="28" borderId="76" xfId="252" applyFill="1" applyBorder="1"/>
    <xf numFmtId="0" fontId="15" fillId="28" borderId="77" xfId="252" applyFill="1" applyBorder="1"/>
    <xf numFmtId="174" fontId="16" fillId="28" borderId="77" xfId="252" applyNumberFormat="1" applyFont="1" applyFill="1" applyBorder="1" applyAlignment="1">
      <alignment horizontal="center"/>
    </xf>
    <xf numFmtId="0" fontId="16" fillId="28" borderId="78" xfId="252" applyFont="1" applyFill="1" applyBorder="1" applyAlignment="1">
      <alignment horizontal="right"/>
    </xf>
    <xf numFmtId="174" fontId="16" fillId="0" borderId="0" xfId="252" applyNumberFormat="1" applyFont="1" applyAlignment="1">
      <alignment horizontal="center"/>
    </xf>
    <xf numFmtId="0" fontId="16" fillId="0" borderId="0" xfId="252" applyFont="1"/>
    <xf numFmtId="174" fontId="15" fillId="0" borderId="0" xfId="252" applyNumberFormat="1" applyAlignment="1">
      <alignment horizontal="center"/>
    </xf>
    <xf numFmtId="1" fontId="15" fillId="0" borderId="0" xfId="252" applyNumberFormat="1" applyAlignment="1">
      <alignment horizontal="center"/>
    </xf>
    <xf numFmtId="166" fontId="15" fillId="0" borderId="0" xfId="252" applyNumberFormat="1" applyAlignment="1">
      <alignment horizontal="center"/>
    </xf>
    <xf numFmtId="1" fontId="15" fillId="0" borderId="0" xfId="252" applyNumberFormat="1"/>
    <xf numFmtId="0" fontId="36" fillId="0" borderId="0" xfId="252" applyFont="1"/>
    <xf numFmtId="0" fontId="15" fillId="0" borderId="71" xfId="252" applyBorder="1"/>
    <xf numFmtId="0" fontId="15" fillId="0" borderId="72" xfId="252" applyBorder="1"/>
    <xf numFmtId="0" fontId="15" fillId="0" borderId="73" xfId="252" applyBorder="1"/>
    <xf numFmtId="0" fontId="15" fillId="0" borderId="74" xfId="252" applyBorder="1"/>
    <xf numFmtId="0" fontId="15" fillId="0" borderId="75" xfId="252" applyBorder="1"/>
    <xf numFmtId="174" fontId="15" fillId="0" borderId="75" xfId="252" applyNumberFormat="1" applyBorder="1" applyAlignment="1">
      <alignment horizontal="center"/>
    </xf>
    <xf numFmtId="0" fontId="15" fillId="0" borderId="79" xfId="252" applyBorder="1"/>
    <xf numFmtId="0" fontId="15" fillId="29" borderId="80" xfId="252" applyFill="1" applyBorder="1"/>
    <xf numFmtId="0" fontId="15" fillId="29" borderId="14" xfId="252" applyFill="1" applyBorder="1"/>
    <xf numFmtId="0" fontId="15" fillId="29" borderId="81" xfId="252" applyFill="1" applyBorder="1"/>
    <xf numFmtId="0" fontId="15" fillId="0" borderId="82" xfId="252" applyBorder="1"/>
    <xf numFmtId="0" fontId="15" fillId="0" borderId="83" xfId="252" applyBorder="1"/>
    <xf numFmtId="0" fontId="15" fillId="30" borderId="84" xfId="252" applyFill="1" applyBorder="1"/>
    <xf numFmtId="0" fontId="15" fillId="30" borderId="72" xfId="252" applyFill="1" applyBorder="1"/>
    <xf numFmtId="0" fontId="15" fillId="30" borderId="73" xfId="252" applyFill="1" applyBorder="1"/>
    <xf numFmtId="0" fontId="15" fillId="0" borderId="75" xfId="252" applyBorder="1" applyAlignment="1">
      <alignment horizontal="center"/>
    </xf>
    <xf numFmtId="0" fontId="15" fillId="0" borderId="85" xfId="252" applyBorder="1"/>
    <xf numFmtId="0" fontId="15" fillId="30" borderId="0" xfId="252" applyFill="1"/>
    <xf numFmtId="0" fontId="15" fillId="30" borderId="75" xfId="252" applyFill="1" applyBorder="1"/>
    <xf numFmtId="0" fontId="15" fillId="30" borderId="77" xfId="252" applyFill="1" applyBorder="1"/>
    <xf numFmtId="0" fontId="15" fillId="30" borderId="78" xfId="252" applyFill="1" applyBorder="1"/>
    <xf numFmtId="0" fontId="15" fillId="31" borderId="86" xfId="252" applyFill="1" applyBorder="1"/>
    <xf numFmtId="0" fontId="15" fillId="31" borderId="85" xfId="252" applyFill="1" applyBorder="1"/>
    <xf numFmtId="0" fontId="15" fillId="0" borderId="75" xfId="252" applyBorder="1" applyAlignment="1">
      <alignment horizontal="right"/>
    </xf>
    <xf numFmtId="0" fontId="34" fillId="0" borderId="0" xfId="252" applyFont="1" applyAlignment="1">
      <alignment horizontal="center"/>
    </xf>
    <xf numFmtId="0" fontId="15" fillId="32" borderId="0" xfId="252" applyFill="1"/>
    <xf numFmtId="0" fontId="15" fillId="32" borderId="86" xfId="252" applyFill="1" applyBorder="1"/>
    <xf numFmtId="0" fontId="34" fillId="0" borderId="71" xfId="252" applyFont="1" applyBorder="1" applyAlignment="1">
      <alignment horizontal="center"/>
    </xf>
    <xf numFmtId="0" fontId="58" fillId="0" borderId="72" xfId="252" applyFont="1" applyBorder="1" applyAlignment="1">
      <alignment horizontal="center"/>
    </xf>
    <xf numFmtId="0" fontId="34" fillId="0" borderId="73" xfId="252" applyFont="1" applyBorder="1"/>
    <xf numFmtId="0" fontId="15" fillId="32" borderId="85" xfId="252" applyFill="1" applyBorder="1"/>
    <xf numFmtId="0" fontId="34" fillId="0" borderId="74" xfId="252" applyFont="1" applyBorder="1" applyAlignment="1">
      <alignment horizontal="center"/>
    </xf>
    <xf numFmtId="0" fontId="58" fillId="0" borderId="0" xfId="252" applyFont="1" applyAlignment="1">
      <alignment horizontal="center"/>
    </xf>
    <xf numFmtId="0" fontId="34" fillId="0" borderId="75" xfId="252" applyFont="1" applyBorder="1"/>
    <xf numFmtId="0" fontId="15" fillId="30" borderId="87" xfId="252" applyFill="1" applyBorder="1"/>
    <xf numFmtId="0" fontId="34" fillId="0" borderId="76" xfId="252" applyFont="1" applyBorder="1" applyAlignment="1">
      <alignment horizontal="center"/>
    </xf>
    <xf numFmtId="0" fontId="58" fillId="0" borderId="77" xfId="252" applyFont="1" applyBorder="1" applyAlignment="1">
      <alignment horizontal="center"/>
    </xf>
    <xf numFmtId="0" fontId="34" fillId="0" borderId="78" xfId="252" applyFont="1" applyBorder="1"/>
    <xf numFmtId="0" fontId="15" fillId="30" borderId="88" xfId="252" applyFill="1" applyBorder="1"/>
    <xf numFmtId="0" fontId="59" fillId="0" borderId="0" xfId="252" applyFont="1"/>
    <xf numFmtId="0" fontId="15" fillId="0" borderId="76" xfId="252" applyBorder="1"/>
    <xf numFmtId="0" fontId="15" fillId="0" borderId="77" xfId="252" applyBorder="1"/>
    <xf numFmtId="0" fontId="15" fillId="0" borderId="78" xfId="252" applyBorder="1"/>
    <xf numFmtId="0" fontId="2" fillId="0" borderId="0" xfId="204" applyFont="1"/>
    <xf numFmtId="43" fontId="0" fillId="0" borderId="12" xfId="0" applyNumberFormat="1" applyBorder="1"/>
    <xf numFmtId="0" fontId="8" fillId="0" borderId="89" xfId="0" applyFont="1" applyBorder="1"/>
    <xf numFmtId="0" fontId="60" fillId="0" borderId="0" xfId="0" applyFont="1"/>
    <xf numFmtId="0" fontId="61" fillId="0" borderId="90" xfId="0" applyFont="1" applyBorder="1" applyAlignment="1">
      <alignment horizontal="center"/>
    </xf>
    <xf numFmtId="0" fontId="61" fillId="0" borderId="0" xfId="0" applyFont="1" applyAlignment="1">
      <alignment horizontal="center"/>
    </xf>
    <xf numFmtId="0" fontId="62" fillId="0" borderId="0" xfId="0" applyFont="1" applyAlignment="1">
      <alignment horizontal="center"/>
    </xf>
    <xf numFmtId="1" fontId="61" fillId="0" borderId="0" xfId="0" applyNumberFormat="1" applyFont="1" applyAlignment="1">
      <alignment horizontal="center"/>
    </xf>
    <xf numFmtId="167" fontId="61" fillId="0" borderId="0" xfId="1" applyNumberFormat="1" applyFont="1" applyAlignment="1">
      <alignment horizontal="center"/>
    </xf>
    <xf numFmtId="0" fontId="61" fillId="0" borderId="0" xfId="0" applyFont="1" applyAlignment="1">
      <alignment horizontal="right"/>
    </xf>
    <xf numFmtId="0" fontId="64" fillId="0" borderId="0" xfId="188" applyFont="1" applyProtection="1">
      <protection locked="0"/>
    </xf>
    <xf numFmtId="0" fontId="64" fillId="0" borderId="0" xfId="188" applyFont="1" applyAlignment="1">
      <alignment horizontal="center"/>
    </xf>
    <xf numFmtId="0" fontId="64" fillId="0" borderId="0" xfId="0" applyFont="1" applyProtection="1">
      <protection locked="0"/>
    </xf>
    <xf numFmtId="0" fontId="64" fillId="0" borderId="0" xfId="0" applyFont="1" applyAlignment="1">
      <alignment horizontal="center"/>
    </xf>
    <xf numFmtId="0" fontId="64" fillId="0" borderId="0" xfId="0" applyFont="1" applyAlignment="1">
      <alignment horizontal="right"/>
    </xf>
    <xf numFmtId="167" fontId="64" fillId="0" borderId="0" xfId="1" applyNumberFormat="1" applyFont="1" applyAlignment="1">
      <alignment horizontal="right"/>
    </xf>
    <xf numFmtId="0" fontId="64" fillId="0" borderId="0" xfId="0" applyFont="1" applyAlignment="1" applyProtection="1">
      <alignment horizontal="center"/>
      <protection locked="0"/>
    </xf>
    <xf numFmtId="0" fontId="64" fillId="0" borderId="0" xfId="0" applyFont="1" applyAlignment="1" applyProtection="1">
      <alignment horizontal="right"/>
      <protection locked="0"/>
    </xf>
    <xf numFmtId="0" fontId="64" fillId="0" borderId="0" xfId="188" applyFont="1" applyAlignment="1" applyProtection="1">
      <alignment horizontal="right"/>
      <protection locked="0"/>
    </xf>
    <xf numFmtId="0" fontId="65" fillId="33" borderId="91" xfId="0" applyFont="1" applyFill="1" applyBorder="1" applyAlignment="1">
      <alignment horizontal="center"/>
    </xf>
    <xf numFmtId="0" fontId="61" fillId="33" borderId="92" xfId="0" applyFont="1" applyFill="1" applyBorder="1" applyAlignment="1">
      <alignment horizontal="center"/>
    </xf>
    <xf numFmtId="0" fontId="61" fillId="33" borderId="92" xfId="0" applyFont="1" applyFill="1" applyBorder="1" applyAlignment="1">
      <alignment horizontal="left"/>
    </xf>
    <xf numFmtId="0" fontId="61" fillId="33" borderId="93" xfId="0" applyFont="1" applyFill="1" applyBorder="1" applyAlignment="1">
      <alignment horizontal="left"/>
    </xf>
    <xf numFmtId="10" fontId="65" fillId="33" borderId="94" xfId="2" applyNumberFormat="1" applyFont="1" applyFill="1" applyBorder="1" applyAlignment="1">
      <alignment horizontal="center"/>
    </xf>
    <xf numFmtId="0" fontId="61" fillId="33" borderId="0" xfId="0" applyFont="1" applyFill="1" applyAlignment="1">
      <alignment horizontal="center"/>
    </xf>
    <xf numFmtId="0" fontId="61" fillId="33" borderId="0" xfId="0" applyFont="1" applyFill="1" applyAlignment="1">
      <alignment horizontal="left"/>
    </xf>
    <xf numFmtId="0" fontId="61" fillId="33" borderId="90" xfId="0" applyFont="1" applyFill="1" applyBorder="1" applyAlignment="1">
      <alignment horizontal="left"/>
    </xf>
    <xf numFmtId="0" fontId="65" fillId="33" borderId="94" xfId="0" applyFont="1" applyFill="1" applyBorder="1" applyAlignment="1">
      <alignment horizontal="center"/>
    </xf>
    <xf numFmtId="0" fontId="61" fillId="33" borderId="89" xfId="0" applyFont="1" applyFill="1" applyBorder="1" applyAlignment="1">
      <alignment horizontal="left"/>
    </xf>
    <xf numFmtId="0" fontId="61" fillId="33" borderId="95" xfId="0" applyFont="1" applyFill="1" applyBorder="1" applyAlignment="1">
      <alignment horizontal="left"/>
    </xf>
    <xf numFmtId="0" fontId="61" fillId="33" borderId="96" xfId="0" applyFont="1" applyFill="1" applyBorder="1" applyAlignment="1">
      <alignment horizontal="center"/>
    </xf>
    <xf numFmtId="0" fontId="61" fillId="33" borderId="53" xfId="0" applyFont="1" applyFill="1" applyBorder="1" applyAlignment="1">
      <alignment horizontal="center"/>
    </xf>
    <xf numFmtId="0" fontId="61" fillId="33" borderId="97" xfId="0" applyFont="1" applyFill="1" applyBorder="1" applyAlignment="1">
      <alignment horizontal="center"/>
    </xf>
    <xf numFmtId="0" fontId="61" fillId="33" borderId="98" xfId="0" applyFont="1" applyFill="1" applyBorder="1" applyAlignment="1">
      <alignment horizontal="center"/>
    </xf>
    <xf numFmtId="0" fontId="61" fillId="33" borderId="14" xfId="0" applyFont="1" applyFill="1" applyBorder="1" applyAlignment="1">
      <alignment horizontal="center"/>
    </xf>
    <xf numFmtId="168" fontId="61" fillId="33" borderId="15" xfId="2" applyNumberFormat="1" applyFont="1" applyFill="1" applyBorder="1" applyAlignment="1">
      <alignment horizontal="center"/>
    </xf>
    <xf numFmtId="0" fontId="66" fillId="33" borderId="14" xfId="0" applyFont="1" applyFill="1" applyBorder="1" applyAlignment="1">
      <alignment horizontal="center"/>
    </xf>
    <xf numFmtId="0" fontId="66" fillId="33" borderId="99" xfId="0" applyFont="1" applyFill="1" applyBorder="1" applyAlignment="1">
      <alignment horizontal="center"/>
    </xf>
    <xf numFmtId="0" fontId="61" fillId="33" borderId="94" xfId="0" applyFont="1" applyFill="1" applyBorder="1" applyAlignment="1">
      <alignment horizontal="center"/>
    </xf>
    <xf numFmtId="168" fontId="61" fillId="33" borderId="55" xfId="2" applyNumberFormat="1" applyFont="1" applyFill="1" applyBorder="1" applyAlignment="1">
      <alignment horizontal="center"/>
    </xf>
    <xf numFmtId="0" fontId="66" fillId="33" borderId="0" xfId="0" applyFont="1" applyFill="1" applyAlignment="1">
      <alignment horizontal="center"/>
    </xf>
    <xf numFmtId="0" fontId="66" fillId="33" borderId="90" xfId="0" applyFont="1" applyFill="1" applyBorder="1" applyAlignment="1">
      <alignment horizontal="center"/>
    </xf>
    <xf numFmtId="168" fontId="61" fillId="33" borderId="100" xfId="2" applyNumberFormat="1" applyFont="1" applyFill="1" applyBorder="1" applyAlignment="1">
      <alignment horizontal="center"/>
    </xf>
    <xf numFmtId="0" fontId="61" fillId="33" borderId="101" xfId="0" applyFont="1" applyFill="1" applyBorder="1" applyAlignment="1">
      <alignment horizontal="center"/>
    </xf>
    <xf numFmtId="0" fontId="61" fillId="33" borderId="89" xfId="0" applyFont="1" applyFill="1" applyBorder="1" applyAlignment="1">
      <alignment horizontal="center"/>
    </xf>
    <xf numFmtId="0" fontId="61" fillId="33" borderId="54" xfId="0" applyFont="1" applyFill="1" applyBorder="1" applyAlignment="1">
      <alignment horizontal="center"/>
    </xf>
    <xf numFmtId="2" fontId="61" fillId="33" borderId="94" xfId="0" applyNumberFormat="1" applyFont="1" applyFill="1" applyBorder="1" applyAlignment="1">
      <alignment horizontal="center"/>
    </xf>
    <xf numFmtId="0" fontId="61" fillId="33" borderId="102" xfId="0" applyFont="1" applyFill="1" applyBorder="1" applyAlignment="1">
      <alignment horizontal="center"/>
    </xf>
    <xf numFmtId="0" fontId="61" fillId="33" borderId="49" xfId="0" applyFont="1" applyFill="1" applyBorder="1" applyAlignment="1">
      <alignment horizontal="center"/>
    </xf>
    <xf numFmtId="0" fontId="61" fillId="33" borderId="90" xfId="0" applyFont="1" applyFill="1" applyBorder="1" applyAlignment="1">
      <alignment horizontal="center"/>
    </xf>
    <xf numFmtId="0" fontId="66" fillId="0" borderId="0" xfId="0" applyFont="1" applyAlignment="1">
      <alignment horizontal="center"/>
    </xf>
    <xf numFmtId="0" fontId="61" fillId="33" borderId="91" xfId="0" applyFont="1" applyFill="1" applyBorder="1" applyAlignment="1">
      <alignment horizontal="center"/>
    </xf>
    <xf numFmtId="168" fontId="61" fillId="33" borderId="106" xfId="2" applyNumberFormat="1" applyFont="1" applyFill="1" applyBorder="1" applyAlignment="1">
      <alignment horizontal="center"/>
    </xf>
    <xf numFmtId="0" fontId="66" fillId="33" borderId="92" xfId="0" applyFont="1" applyFill="1" applyBorder="1" applyAlignment="1">
      <alignment horizontal="center"/>
    </xf>
    <xf numFmtId="0" fontId="66" fillId="33" borderId="93" xfId="0" applyFont="1" applyFill="1" applyBorder="1" applyAlignment="1">
      <alignment horizontal="center"/>
    </xf>
    <xf numFmtId="168" fontId="65" fillId="33" borderId="94" xfId="2" applyNumberFormat="1" applyFont="1" applyFill="1" applyBorder="1" applyAlignment="1">
      <alignment horizontal="center"/>
    </xf>
    <xf numFmtId="0" fontId="61" fillId="0" borderId="91" xfId="0" applyFont="1" applyBorder="1" applyAlignment="1">
      <alignment horizontal="center"/>
    </xf>
    <xf numFmtId="0" fontId="61" fillId="0" borderId="92" xfId="0" applyFont="1" applyBorder="1" applyAlignment="1">
      <alignment horizontal="center"/>
    </xf>
    <xf numFmtId="0" fontId="61" fillId="0" borderId="93" xfId="0" applyFont="1" applyBorder="1" applyAlignment="1">
      <alignment horizontal="center"/>
    </xf>
    <xf numFmtId="0" fontId="61" fillId="0" borderId="94" xfId="0" applyFont="1" applyBorder="1" applyAlignment="1">
      <alignment horizontal="center"/>
    </xf>
    <xf numFmtId="0" fontId="61" fillId="33" borderId="107" xfId="0" applyFont="1" applyFill="1" applyBorder="1" applyAlignment="1">
      <alignment horizontal="center"/>
    </xf>
    <xf numFmtId="1" fontId="61" fillId="0" borderId="92" xfId="0" applyNumberFormat="1" applyFont="1" applyBorder="1" applyAlignment="1">
      <alignment horizontal="center"/>
    </xf>
    <xf numFmtId="9" fontId="70" fillId="0" borderId="0" xfId="193" applyFont="1" applyBorder="1" applyProtection="1"/>
    <xf numFmtId="0" fontId="70" fillId="0" borderId="0" xfId="0" applyFont="1"/>
    <xf numFmtId="3" fontId="70" fillId="0" borderId="40" xfId="0" applyNumberFormat="1" applyFont="1" applyBorder="1"/>
    <xf numFmtId="3" fontId="70" fillId="0" borderId="39" xfId="0" applyNumberFormat="1" applyFont="1" applyBorder="1" applyAlignment="1">
      <alignment horizontal="right"/>
    </xf>
    <xf numFmtId="0" fontId="70" fillId="0" borderId="39" xfId="0" applyFont="1" applyBorder="1"/>
    <xf numFmtId="0" fontId="70" fillId="0" borderId="38" xfId="0" applyFont="1" applyBorder="1"/>
    <xf numFmtId="0" fontId="15" fillId="0" borderId="0" xfId="0" applyFont="1"/>
    <xf numFmtId="3" fontId="70" fillId="0" borderId="0" xfId="0" applyNumberFormat="1" applyFont="1"/>
    <xf numFmtId="2" fontId="70" fillId="0" borderId="0" xfId="0" applyNumberFormat="1" applyFont="1"/>
    <xf numFmtId="4" fontId="70" fillId="0" borderId="0" xfId="0" applyNumberFormat="1" applyFont="1"/>
    <xf numFmtId="0" fontId="70" fillId="0" borderId="0" xfId="0" applyFont="1" applyAlignment="1">
      <alignment horizontal="right"/>
    </xf>
    <xf numFmtId="4" fontId="70" fillId="0" borderId="0" xfId="0" applyNumberFormat="1" applyFont="1" applyAlignment="1">
      <alignment horizontal="right"/>
    </xf>
    <xf numFmtId="0" fontId="70" fillId="0" borderId="0" xfId="0" applyFont="1" applyAlignment="1">
      <alignment horizontal="left"/>
    </xf>
    <xf numFmtId="0" fontId="70" fillId="0" borderId="53" xfId="0" applyFont="1" applyBorder="1" applyAlignment="1">
      <alignment horizontal="right" vertical="center"/>
    </xf>
    <xf numFmtId="0" fontId="70" fillId="0" borderId="53" xfId="0" applyFont="1" applyBorder="1" applyAlignment="1">
      <alignment horizontal="center" vertical="center"/>
    </xf>
    <xf numFmtId="0" fontId="70" fillId="0" borderId="53" xfId="0" applyFont="1" applyBorder="1" applyAlignment="1">
      <alignment horizontal="left" vertical="center"/>
    </xf>
    <xf numFmtId="0" fontId="70" fillId="0" borderId="53" xfId="0" applyFont="1" applyBorder="1"/>
    <xf numFmtId="0" fontId="64" fillId="0" borderId="0" xfId="0" applyFont="1" applyAlignment="1">
      <alignment horizontal="left"/>
    </xf>
    <xf numFmtId="0" fontId="64" fillId="0" borderId="0" xfId="0" applyFont="1"/>
    <xf numFmtId="0" fontId="70" fillId="0" borderId="0" xfId="0" applyFont="1" applyAlignment="1">
      <alignment horizontal="center"/>
    </xf>
    <xf numFmtId="0" fontId="70" fillId="8" borderId="49" xfId="0" applyFont="1" applyFill="1" applyBorder="1" applyAlignment="1">
      <alignment horizontal="center"/>
    </xf>
    <xf numFmtId="0" fontId="70" fillId="8" borderId="49" xfId="0" applyFont="1" applyFill="1" applyBorder="1" applyAlignment="1">
      <alignment horizontal="center" wrapText="1"/>
    </xf>
    <xf numFmtId="0" fontId="70" fillId="8" borderId="49" xfId="0" applyFont="1" applyFill="1" applyBorder="1"/>
    <xf numFmtId="0" fontId="71" fillId="0" borderId="0" xfId="0" applyFont="1"/>
    <xf numFmtId="0" fontId="71" fillId="0" borderId="0" xfId="0" applyFont="1" applyAlignment="1">
      <alignment horizontal="left" vertical="center"/>
    </xf>
    <xf numFmtId="0" fontId="72" fillId="0" borderId="0" xfId="0" applyFont="1" applyAlignment="1">
      <alignment horizontal="left" vertical="center"/>
    </xf>
    <xf numFmtId="0" fontId="73" fillId="0" borderId="0" xfId="0" applyFont="1"/>
    <xf numFmtId="0" fontId="73" fillId="0" borderId="0" xfId="0" applyFont="1" applyAlignment="1">
      <alignment horizontal="left" vertical="center"/>
    </xf>
    <xf numFmtId="0" fontId="74" fillId="0" borderId="0" xfId="0" applyFont="1" applyAlignment="1">
      <alignment horizontal="left" vertical="center"/>
    </xf>
    <xf numFmtId="0" fontId="0" fillId="0" borderId="0" xfId="0" applyProtection="1">
      <protection locked="0"/>
    </xf>
    <xf numFmtId="0" fontId="63" fillId="0" borderId="0" xfId="256"/>
    <xf numFmtId="0" fontId="70" fillId="0" borderId="0" xfId="256" applyFont="1"/>
    <xf numFmtId="3" fontId="70" fillId="0" borderId="40" xfId="256" applyNumberFormat="1" applyFont="1" applyBorder="1"/>
    <xf numFmtId="3" fontId="70" fillId="0" borderId="39" xfId="256" applyNumberFormat="1" applyFont="1" applyBorder="1" applyAlignment="1">
      <alignment horizontal="right"/>
    </xf>
    <xf numFmtId="0" fontId="70" fillId="0" borderId="39" xfId="256" applyFont="1" applyBorder="1"/>
    <xf numFmtId="0" fontId="70" fillId="0" borderId="38" xfId="256" applyFont="1" applyBorder="1"/>
    <xf numFmtId="0" fontId="15" fillId="0" borderId="0" xfId="256" applyFont="1"/>
    <xf numFmtId="3" fontId="70" fillId="0" borderId="0" xfId="256" applyNumberFormat="1" applyFont="1"/>
    <xf numFmtId="2" fontId="70" fillId="0" borderId="0" xfId="256" applyNumberFormat="1" applyFont="1"/>
    <xf numFmtId="4" fontId="70" fillId="0" borderId="0" xfId="256" applyNumberFormat="1" applyFont="1"/>
    <xf numFmtId="0" fontId="70" fillId="0" borderId="0" xfId="256" applyFont="1" applyAlignment="1">
      <alignment horizontal="right"/>
    </xf>
    <xf numFmtId="4" fontId="70" fillId="0" borderId="0" xfId="256" applyNumberFormat="1" applyFont="1" applyAlignment="1">
      <alignment horizontal="right"/>
    </xf>
    <xf numFmtId="0" fontId="70" fillId="0" borderId="0" xfId="256" applyFont="1" applyAlignment="1">
      <alignment horizontal="left"/>
    </xf>
    <xf numFmtId="0" fontId="70" fillId="0" borderId="53" xfId="256" applyFont="1" applyBorder="1" applyAlignment="1">
      <alignment horizontal="right" vertical="center"/>
    </xf>
    <xf numFmtId="0" fontId="70" fillId="0" borderId="53" xfId="256" applyFont="1" applyBorder="1" applyAlignment="1">
      <alignment horizontal="center" vertical="center"/>
    </xf>
    <xf numFmtId="0" fontId="70" fillId="0" borderId="53" xfId="256" applyFont="1" applyBorder="1" applyAlignment="1">
      <alignment horizontal="left" vertical="center"/>
    </xf>
    <xf numFmtId="0" fontId="70" fillId="0" borderId="53" xfId="256" applyFont="1" applyBorder="1"/>
    <xf numFmtId="0" fontId="64" fillId="0" borderId="0" xfId="256" applyFont="1" applyAlignment="1">
      <alignment horizontal="right"/>
    </xf>
    <xf numFmtId="0" fontId="64" fillId="0" borderId="0" xfId="256" applyFont="1" applyAlignment="1">
      <alignment horizontal="left"/>
    </xf>
    <xf numFmtId="0" fontId="64" fillId="0" borderId="0" xfId="256" applyFont="1"/>
    <xf numFmtId="0" fontId="70" fillId="0" borderId="0" xfId="256" applyFont="1" applyAlignment="1">
      <alignment horizontal="center"/>
    </xf>
    <xf numFmtId="0" fontId="64" fillId="0" borderId="0" xfId="256" applyFont="1" applyAlignment="1">
      <alignment horizontal="center"/>
    </xf>
    <xf numFmtId="0" fontId="64" fillId="0" borderId="0" xfId="256" applyFont="1" applyAlignment="1" applyProtection="1">
      <alignment horizontal="center"/>
      <protection locked="0"/>
    </xf>
    <xf numFmtId="0" fontId="64" fillId="0" borderId="0" xfId="256" applyFont="1" applyProtection="1">
      <protection locked="0"/>
    </xf>
    <xf numFmtId="0" fontId="70" fillId="8" borderId="49" xfId="256" applyFont="1" applyFill="1" applyBorder="1" applyAlignment="1">
      <alignment horizontal="center"/>
    </xf>
    <xf numFmtId="0" fontId="70" fillId="8" borderId="49" xfId="256" applyFont="1" applyFill="1" applyBorder="1"/>
    <xf numFmtId="0" fontId="71" fillId="0" borderId="0" xfId="256" applyFont="1"/>
    <xf numFmtId="0" fontId="71" fillId="0" borderId="0" xfId="256" applyFont="1" applyAlignment="1">
      <alignment horizontal="left" vertical="center"/>
    </xf>
    <xf numFmtId="0" fontId="72" fillId="0" borderId="0" xfId="256" applyFont="1" applyAlignment="1">
      <alignment horizontal="left" vertical="center"/>
    </xf>
    <xf numFmtId="0" fontId="73" fillId="0" borderId="0" xfId="256" applyFont="1"/>
    <xf numFmtId="0" fontId="73" fillId="0" borderId="0" xfId="256" applyFont="1" applyAlignment="1">
      <alignment horizontal="left" vertical="center"/>
    </xf>
    <xf numFmtId="0" fontId="74" fillId="0" borderId="0" xfId="256" applyFont="1" applyAlignment="1">
      <alignment horizontal="left" vertical="center"/>
    </xf>
    <xf numFmtId="37" fontId="76" fillId="0" borderId="0" xfId="257" applyFont="1" applyAlignment="1">
      <alignment vertical="center"/>
    </xf>
    <xf numFmtId="37" fontId="76" fillId="0" borderId="20" xfId="257" applyFont="1" applyBorder="1" applyAlignment="1">
      <alignment vertical="center"/>
    </xf>
    <xf numFmtId="37" fontId="76" fillId="0" borderId="19" xfId="257" applyFont="1" applyBorder="1" applyAlignment="1">
      <alignment vertical="center"/>
    </xf>
    <xf numFmtId="183" fontId="76" fillId="0" borderId="18" xfId="258" applyFont="1" applyBorder="1" applyAlignment="1">
      <alignment horizontal="center" vertical="center"/>
    </xf>
    <xf numFmtId="37" fontId="76" fillId="0" borderId="0" xfId="257" applyFont="1" applyAlignment="1">
      <alignment horizontal="center" vertical="center"/>
    </xf>
    <xf numFmtId="37" fontId="76" fillId="0" borderId="17" xfId="257" applyFont="1" applyBorder="1" applyAlignment="1">
      <alignment vertical="center"/>
    </xf>
    <xf numFmtId="37" fontId="76" fillId="0" borderId="60" xfId="257" applyFont="1" applyBorder="1" applyAlignment="1">
      <alignment vertical="center"/>
    </xf>
    <xf numFmtId="37" fontId="76" fillId="0" borderId="53" xfId="257" applyFont="1" applyBorder="1" applyAlignment="1">
      <alignment vertical="center"/>
    </xf>
    <xf numFmtId="37" fontId="76" fillId="0" borderId="114" xfId="257" applyFont="1" applyBorder="1" applyAlignment="1">
      <alignment vertical="center"/>
    </xf>
    <xf numFmtId="37" fontId="76" fillId="0" borderId="18" xfId="257" applyFont="1" applyBorder="1" applyAlignment="1">
      <alignment horizontal="center" vertical="center"/>
    </xf>
    <xf numFmtId="37" fontId="76" fillId="0" borderId="60" xfId="257" applyFont="1" applyBorder="1" applyAlignment="1">
      <alignment horizontal="center" vertical="center"/>
    </xf>
    <xf numFmtId="37" fontId="76" fillId="0" borderId="53" xfId="257" applyFont="1" applyBorder="1" applyAlignment="1">
      <alignment horizontal="center" vertical="center"/>
    </xf>
    <xf numFmtId="183" fontId="77" fillId="0" borderId="115" xfId="258" applyFont="1" applyBorder="1" applyAlignment="1">
      <alignment horizontal="center" vertical="center"/>
    </xf>
    <xf numFmtId="183" fontId="77" fillId="0" borderId="18" xfId="258" applyFont="1" applyBorder="1" applyAlignment="1">
      <alignment horizontal="center" vertical="center"/>
    </xf>
    <xf numFmtId="183" fontId="77" fillId="0" borderId="0" xfId="258" applyFont="1" applyFill="1" applyBorder="1" applyAlignment="1">
      <alignment horizontal="center" vertical="center"/>
    </xf>
    <xf numFmtId="183" fontId="77" fillId="0" borderId="18" xfId="258" applyFont="1" applyFill="1" applyBorder="1" applyAlignment="1">
      <alignment horizontal="center" vertical="center"/>
    </xf>
    <xf numFmtId="37" fontId="78" fillId="0" borderId="17" xfId="257" applyFont="1" applyBorder="1" applyAlignment="1">
      <alignment vertical="center"/>
    </xf>
    <xf numFmtId="183" fontId="77" fillId="0" borderId="0" xfId="254" applyFont="1" applyFill="1" applyBorder="1" applyAlignment="1">
      <alignment horizontal="center" vertical="center"/>
    </xf>
    <xf numFmtId="39" fontId="76" fillId="0" borderId="0" xfId="257" applyNumberFormat="1" applyFont="1" applyAlignment="1">
      <alignment horizontal="center" vertical="center"/>
    </xf>
    <xf numFmtId="0" fontId="76" fillId="0" borderId="17" xfId="259" applyFont="1" applyBorder="1" applyAlignment="1">
      <alignment vertical="center"/>
    </xf>
    <xf numFmtId="37" fontId="76" fillId="0" borderId="30" xfId="257" applyFont="1" applyBorder="1" applyAlignment="1">
      <alignment vertical="center"/>
    </xf>
    <xf numFmtId="37" fontId="76" fillId="0" borderId="29" xfId="257" applyFont="1" applyBorder="1" applyAlignment="1">
      <alignment vertical="center"/>
    </xf>
    <xf numFmtId="37" fontId="78" fillId="0" borderId="28" xfId="257" applyFont="1" applyBorder="1" applyAlignment="1">
      <alignment vertical="center"/>
    </xf>
    <xf numFmtId="37" fontId="79" fillId="0" borderId="0" xfId="257" applyFont="1" applyAlignment="1">
      <alignment vertical="center"/>
    </xf>
    <xf numFmtId="37" fontId="79" fillId="0" borderId="18" xfId="257" applyFont="1" applyBorder="1" applyAlignment="1">
      <alignment horizontal="center" vertical="center"/>
    </xf>
    <xf numFmtId="37" fontId="79" fillId="0" borderId="0" xfId="257" applyFont="1" applyAlignment="1">
      <alignment horizontal="center" vertical="center"/>
    </xf>
    <xf numFmtId="37" fontId="79" fillId="0" borderId="17" xfId="257" applyFont="1" applyBorder="1" applyAlignment="1">
      <alignment vertical="center"/>
    </xf>
    <xf numFmtId="183" fontId="76" fillId="0" borderId="115" xfId="258" applyFont="1" applyBorder="1" applyAlignment="1">
      <alignment horizontal="center" vertical="center"/>
    </xf>
    <xf numFmtId="183" fontId="76" fillId="0" borderId="0" xfId="254" applyFont="1" applyFill="1" applyBorder="1" applyAlignment="1">
      <alignment horizontal="center" vertical="center"/>
    </xf>
    <xf numFmtId="183" fontId="77" fillId="0" borderId="0" xfId="258" applyFont="1" applyAlignment="1">
      <alignment vertical="center"/>
    </xf>
    <xf numFmtId="183" fontId="77" fillId="0" borderId="0" xfId="258" applyFont="1" applyFill="1" applyAlignment="1">
      <alignment vertical="center"/>
    </xf>
    <xf numFmtId="183" fontId="76" fillId="0" borderId="0" xfId="254" applyFont="1" applyFill="1" applyBorder="1" applyAlignment="1">
      <alignment vertical="center"/>
    </xf>
    <xf numFmtId="37" fontId="76" fillId="0" borderId="18" xfId="257" applyFont="1" applyBorder="1" applyAlignment="1">
      <alignment vertical="center"/>
    </xf>
    <xf numFmtId="175" fontId="8" fillId="0" borderId="0" xfId="0" applyNumberFormat="1" applyFont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/>
    </xf>
    <xf numFmtId="0" fontId="8" fillId="0" borderId="53" xfId="0" applyFont="1" applyBorder="1" applyAlignment="1">
      <alignment horizontal="center"/>
    </xf>
    <xf numFmtId="0" fontId="8" fillId="0" borderId="54" xfId="0" applyFont="1" applyBorder="1" applyAlignment="1">
      <alignment horizontal="center"/>
    </xf>
    <xf numFmtId="0" fontId="8" fillId="0" borderId="52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249" applyFont="1" applyAlignment="1">
      <alignment horizontal="center" vertical="top"/>
    </xf>
    <xf numFmtId="0" fontId="40" fillId="24" borderId="8" xfId="54" applyFont="1" applyFill="1" applyBorder="1" applyAlignment="1">
      <alignment vertical="center" wrapText="1"/>
    </xf>
    <xf numFmtId="0" fontId="40" fillId="24" borderId="9" xfId="54" applyFont="1" applyFill="1" applyBorder="1" applyAlignment="1">
      <alignment vertical="center" wrapText="1"/>
    </xf>
    <xf numFmtId="0" fontId="40" fillId="24" borderId="10" xfId="54" applyFont="1" applyFill="1" applyBorder="1" applyAlignment="1">
      <alignment vertical="center" wrapText="1"/>
    </xf>
    <xf numFmtId="0" fontId="40" fillId="24" borderId="13" xfId="54" applyFont="1" applyFill="1" applyBorder="1" applyAlignment="1">
      <alignment vertical="center" wrapText="1"/>
    </xf>
    <xf numFmtId="0" fontId="40" fillId="24" borderId="14" xfId="54" applyFont="1" applyFill="1" applyBorder="1" applyAlignment="1">
      <alignment vertical="center" wrapText="1"/>
    </xf>
    <xf numFmtId="0" fontId="40" fillId="24" borderId="15" xfId="54" applyFont="1" applyFill="1" applyBorder="1" applyAlignment="1">
      <alignment vertical="center" wrapText="1"/>
    </xf>
    <xf numFmtId="0" fontId="8" fillId="24" borderId="70" xfId="54" applyFont="1" applyFill="1" applyBorder="1" applyAlignment="1">
      <alignment vertical="center" wrapText="1"/>
    </xf>
    <xf numFmtId="0" fontId="8" fillId="24" borderId="67" xfId="54" applyFont="1" applyFill="1" applyBorder="1" applyAlignment="1">
      <alignment vertical="center" wrapText="1"/>
    </xf>
    <xf numFmtId="0" fontId="8" fillId="24" borderId="69" xfId="54" applyFont="1" applyFill="1" applyBorder="1" applyAlignment="1">
      <alignment horizontal="center" vertical="center" wrapText="1"/>
    </xf>
    <xf numFmtId="0" fontId="8" fillId="24" borderId="68" xfId="54" applyFont="1" applyFill="1" applyBorder="1" applyAlignment="1">
      <alignment horizontal="center" vertical="center" wrapText="1"/>
    </xf>
    <xf numFmtId="0" fontId="8" fillId="24" borderId="11" xfId="54" applyFont="1" applyFill="1" applyBorder="1" applyAlignment="1">
      <alignment horizontal="center" vertical="center" wrapText="1"/>
    </xf>
    <xf numFmtId="0" fontId="8" fillId="24" borderId="55" xfId="54" applyFont="1" applyFill="1" applyBorder="1" applyAlignment="1">
      <alignment horizontal="center" vertical="center" wrapText="1"/>
    </xf>
    <xf numFmtId="0" fontId="8" fillId="2" borderId="25" xfId="54" applyFont="1" applyFill="1" applyBorder="1" applyAlignment="1">
      <alignment horizontal="center" vertical="center" wrapText="1"/>
    </xf>
    <xf numFmtId="0" fontId="8" fillId="2" borderId="37" xfId="54" applyFont="1" applyFill="1" applyBorder="1" applyAlignment="1">
      <alignment horizontal="center" vertical="center" wrapText="1"/>
    </xf>
    <xf numFmtId="0" fontId="8" fillId="0" borderId="0" xfId="54" applyFont="1"/>
    <xf numFmtId="0" fontId="8" fillId="24" borderId="24" xfId="54" applyFont="1" applyFill="1" applyBorder="1" applyAlignment="1">
      <alignment horizontal="center" vertical="center" wrapText="1"/>
    </xf>
    <xf numFmtId="0" fontId="8" fillId="24" borderId="25" xfId="54" applyFont="1" applyFill="1" applyBorder="1" applyAlignment="1">
      <alignment horizontal="center" vertical="center" wrapText="1"/>
    </xf>
    <xf numFmtId="0" fontId="7" fillId="0" borderId="25" xfId="54" applyBorder="1"/>
    <xf numFmtId="0" fontId="7" fillId="0" borderId="26" xfId="54" applyBorder="1"/>
    <xf numFmtId="184" fontId="7" fillId="0" borderId="0" xfId="54" applyNumberFormat="1"/>
    <xf numFmtId="0" fontId="7" fillId="0" borderId="0" xfId="54"/>
    <xf numFmtId="0" fontId="8" fillId="24" borderId="36" xfId="54" applyFont="1" applyFill="1" applyBorder="1" applyAlignment="1">
      <alignment horizontal="center" vertical="center" wrapText="1"/>
    </xf>
    <xf numFmtId="0" fontId="7" fillId="0" borderId="2" xfId="54" applyBorder="1" applyAlignment="1">
      <alignment horizontal="center" wrapText="1"/>
    </xf>
    <xf numFmtId="0" fontId="7" fillId="0" borderId="60" xfId="54" applyBorder="1" applyAlignment="1">
      <alignment horizontal="center" wrapText="1"/>
    </xf>
    <xf numFmtId="0" fontId="8" fillId="0" borderId="56" xfId="54" applyFont="1" applyBorder="1" applyAlignment="1">
      <alignment horizontal="center" wrapText="1"/>
    </xf>
    <xf numFmtId="0" fontId="8" fillId="0" borderId="0" xfId="54" applyFont="1" applyAlignment="1">
      <alignment horizontal="center"/>
    </xf>
    <xf numFmtId="0" fontId="7" fillId="0" borderId="0" xfId="54" applyAlignment="1">
      <alignment horizontal="center"/>
    </xf>
    <xf numFmtId="0" fontId="7" fillId="0" borderId="25" xfId="54" applyBorder="1" applyAlignment="1">
      <alignment horizontal="center" wrapText="1"/>
    </xf>
    <xf numFmtId="0" fontId="7" fillId="0" borderId="26" xfId="54" applyBorder="1" applyAlignment="1">
      <alignment horizontal="center" wrapText="1"/>
    </xf>
    <xf numFmtId="0" fontId="7" fillId="0" borderId="3" xfId="54" applyBorder="1" applyAlignment="1">
      <alignment horizontal="center" wrapText="1"/>
    </xf>
    <xf numFmtId="0" fontId="7" fillId="0" borderId="14" xfId="54" applyBorder="1" applyAlignment="1">
      <alignment horizontal="center" wrapText="1"/>
    </xf>
    <xf numFmtId="0" fontId="7" fillId="0" borderId="62" xfId="54" applyBorder="1" applyAlignment="1">
      <alignment horizontal="center" wrapText="1"/>
    </xf>
    <xf numFmtId="0" fontId="67" fillId="34" borderId="105" xfId="0" applyFont="1" applyFill="1" applyBorder="1" applyAlignment="1">
      <alignment horizontal="center"/>
    </xf>
    <xf numFmtId="0" fontId="67" fillId="34" borderId="104" xfId="0" applyFont="1" applyFill="1" applyBorder="1" applyAlignment="1">
      <alignment horizontal="center"/>
    </xf>
    <xf numFmtId="0" fontId="67" fillId="34" borderId="103" xfId="0" applyFont="1" applyFill="1" applyBorder="1" applyAlignment="1">
      <alignment horizontal="center"/>
    </xf>
    <xf numFmtId="0" fontId="61" fillId="33" borderId="97" xfId="0" applyFont="1" applyFill="1" applyBorder="1" applyAlignment="1">
      <alignment horizontal="center"/>
    </xf>
    <xf numFmtId="0" fontId="61" fillId="33" borderId="53" xfId="0" applyFont="1" applyFill="1" applyBorder="1" applyAlignment="1">
      <alignment horizontal="center"/>
    </xf>
    <xf numFmtId="0" fontId="61" fillId="33" borderId="96" xfId="0" applyFont="1" applyFill="1" applyBorder="1" applyAlignment="1">
      <alignment horizontal="center"/>
    </xf>
    <xf numFmtId="0" fontId="61" fillId="33" borderId="54" xfId="0" applyFont="1" applyFill="1" applyBorder="1" applyAlignment="1">
      <alignment horizontal="center"/>
    </xf>
    <xf numFmtId="0" fontId="61" fillId="33" borderId="11" xfId="0" applyFont="1" applyFill="1" applyBorder="1" applyAlignment="1">
      <alignment horizontal="left"/>
    </xf>
    <xf numFmtId="0" fontId="61" fillId="33" borderId="0" xfId="0" applyFont="1" applyFill="1" applyAlignment="1">
      <alignment horizontal="left"/>
    </xf>
    <xf numFmtId="0" fontId="61" fillId="33" borderId="105" xfId="0" applyFont="1" applyFill="1" applyBorder="1" applyAlignment="1">
      <alignment horizontal="center"/>
    </xf>
    <xf numFmtId="0" fontId="61" fillId="33" borderId="104" xfId="0" applyFont="1" applyFill="1" applyBorder="1" applyAlignment="1">
      <alignment horizontal="center"/>
    </xf>
    <xf numFmtId="0" fontId="61" fillId="33" borderId="103" xfId="0" applyFont="1" applyFill="1" applyBorder="1" applyAlignment="1">
      <alignment horizontal="center"/>
    </xf>
    <xf numFmtId="0" fontId="69" fillId="34" borderId="110" xfId="0" applyFont="1" applyFill="1" applyBorder="1" applyAlignment="1">
      <alignment horizontal="center"/>
    </xf>
    <xf numFmtId="0" fontId="69" fillId="34" borderId="109" xfId="0" applyFont="1" applyFill="1" applyBorder="1" applyAlignment="1">
      <alignment horizontal="center"/>
    </xf>
    <xf numFmtId="0" fontId="69" fillId="34" borderId="108" xfId="0" applyFont="1" applyFill="1" applyBorder="1" applyAlignment="1">
      <alignment horizontal="center"/>
    </xf>
    <xf numFmtId="0" fontId="69" fillId="34" borderId="90" xfId="0" applyFont="1" applyFill="1" applyBorder="1" applyAlignment="1">
      <alignment horizontal="center"/>
    </xf>
    <xf numFmtId="0" fontId="69" fillId="34" borderId="0" xfId="0" applyFont="1" applyFill="1" applyAlignment="1">
      <alignment horizontal="center"/>
    </xf>
    <xf numFmtId="0" fontId="69" fillId="34" borderId="94" xfId="0" applyFont="1" applyFill="1" applyBorder="1" applyAlignment="1">
      <alignment horizontal="center"/>
    </xf>
    <xf numFmtId="0" fontId="68" fillId="34" borderId="90" xfId="0" applyFont="1" applyFill="1" applyBorder="1" applyAlignment="1">
      <alignment horizontal="center"/>
    </xf>
    <xf numFmtId="0" fontId="68" fillId="34" borderId="0" xfId="0" applyFont="1" applyFill="1" applyAlignment="1">
      <alignment horizontal="center"/>
    </xf>
    <xf numFmtId="0" fontId="68" fillId="34" borderId="94" xfId="0" applyFont="1" applyFill="1" applyBorder="1" applyAlignment="1">
      <alignment horizontal="center"/>
    </xf>
    <xf numFmtId="0" fontId="68" fillId="34" borderId="93" xfId="0" applyFont="1" applyFill="1" applyBorder="1" applyAlignment="1">
      <alignment horizontal="center"/>
    </xf>
    <xf numFmtId="0" fontId="68" fillId="34" borderId="92" xfId="0" applyFont="1" applyFill="1" applyBorder="1" applyAlignment="1">
      <alignment horizontal="center"/>
    </xf>
    <xf numFmtId="0" fontId="68" fillId="34" borderId="91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0" fillId="0" borderId="44" xfId="0" applyBorder="1"/>
    <xf numFmtId="0" fontId="0" fillId="0" borderId="0" xfId="0"/>
    <xf numFmtId="0" fontId="45" fillId="0" borderId="42" xfId="0" applyFont="1" applyBorder="1" applyAlignment="1">
      <alignment horizontal="left" vertical="center" wrapText="1"/>
    </xf>
    <xf numFmtId="0" fontId="45" fillId="0" borderId="41" xfId="0" applyFont="1" applyBorder="1" applyAlignment="1">
      <alignment horizontal="left" vertical="center" wrapText="1"/>
    </xf>
    <xf numFmtId="0" fontId="45" fillId="0" borderId="43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44" xfId="0" applyBorder="1" applyAlignment="1">
      <alignment vertical="center"/>
    </xf>
    <xf numFmtId="0" fontId="0" fillId="0" borderId="45" xfId="0" applyBorder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44" xfId="0" applyBorder="1" applyAlignment="1">
      <alignment horizontal="left" vertical="center" wrapText="1"/>
    </xf>
    <xf numFmtId="0" fontId="0" fillId="0" borderId="45" xfId="0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50" fillId="0" borderId="0" xfId="0" applyFont="1" applyAlignment="1">
      <alignment vertical="top" wrapText="1"/>
    </xf>
    <xf numFmtId="0" fontId="50" fillId="0" borderId="12" xfId="0" applyFont="1" applyBorder="1" applyAlignment="1">
      <alignment vertical="top" wrapText="1"/>
    </xf>
    <xf numFmtId="167" fontId="8" fillId="0" borderId="5" xfId="1" applyNumberFormat="1" applyFont="1" applyBorder="1" applyAlignment="1">
      <alignment horizontal="center" vertical="center"/>
    </xf>
    <xf numFmtId="167" fontId="8" fillId="0" borderId="6" xfId="1" applyNumberFormat="1" applyFont="1" applyBorder="1" applyAlignment="1">
      <alignment horizontal="center" vertical="center"/>
    </xf>
    <xf numFmtId="167" fontId="8" fillId="0" borderId="7" xfId="1" applyNumberFormat="1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40" fontId="8" fillId="0" borderId="5" xfId="0" applyNumberFormat="1" applyFont="1" applyBorder="1" applyAlignment="1">
      <alignment horizontal="center" vertical="center"/>
    </xf>
    <xf numFmtId="40" fontId="8" fillId="0" borderId="6" xfId="0" applyNumberFormat="1" applyFont="1" applyBorder="1" applyAlignment="1">
      <alignment horizontal="center" vertical="center"/>
    </xf>
    <xf numFmtId="40" fontId="8" fillId="0" borderId="7" xfId="0" applyNumberFormat="1" applyFont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12" xfId="0" applyBorder="1" applyAlignment="1">
      <alignment horizontal="left" wrapText="1"/>
    </xf>
    <xf numFmtId="37" fontId="76" fillId="35" borderId="28" xfId="257" applyFont="1" applyFill="1" applyBorder="1" applyAlignment="1">
      <alignment horizontal="center" vertical="center"/>
    </xf>
    <xf numFmtId="37" fontId="76" fillId="35" borderId="29" xfId="257" applyFont="1" applyFill="1" applyBorder="1" applyAlignment="1">
      <alignment horizontal="center" vertical="center"/>
    </xf>
    <xf numFmtId="37" fontId="76" fillId="35" borderId="30" xfId="257" applyFont="1" applyFill="1" applyBorder="1" applyAlignment="1">
      <alignment horizontal="center" vertical="center"/>
    </xf>
    <xf numFmtId="37" fontId="76" fillId="35" borderId="19" xfId="257" applyFont="1" applyFill="1" applyBorder="1" applyAlignment="1">
      <alignment horizontal="center" vertical="center"/>
    </xf>
    <xf numFmtId="37" fontId="76" fillId="35" borderId="20" xfId="257" applyFont="1" applyFill="1" applyBorder="1" applyAlignment="1">
      <alignment horizontal="center" vertical="center"/>
    </xf>
    <xf numFmtId="37" fontId="76" fillId="35" borderId="21" xfId="257" applyFont="1" applyFill="1" applyBorder="1" applyAlignment="1">
      <alignment horizontal="center" vertical="center"/>
    </xf>
    <xf numFmtId="183" fontId="76" fillId="0" borderId="113" xfId="258" applyFont="1" applyBorder="1" applyAlignment="1">
      <alignment horizontal="center" vertical="center"/>
    </xf>
    <xf numFmtId="183" fontId="76" fillId="0" borderId="89" xfId="258" applyFont="1" applyBorder="1" applyAlignment="1">
      <alignment horizontal="center" vertical="center"/>
    </xf>
    <xf numFmtId="183" fontId="76" fillId="0" borderId="112" xfId="258" applyFont="1" applyBorder="1" applyAlignment="1">
      <alignment horizontal="center" vertical="center"/>
    </xf>
    <xf numFmtId="183" fontId="76" fillId="0" borderId="11" xfId="258" applyFont="1" applyBorder="1" applyAlignment="1">
      <alignment horizontal="center" vertical="center"/>
    </xf>
    <xf numFmtId="183" fontId="76" fillId="0" borderId="0" xfId="258" applyFont="1" applyBorder="1" applyAlignment="1">
      <alignment horizontal="center" vertical="center"/>
    </xf>
    <xf numFmtId="183" fontId="76" fillId="0" borderId="18" xfId="258" applyFont="1" applyBorder="1" applyAlignment="1">
      <alignment horizontal="center" vertical="center"/>
    </xf>
    <xf numFmtId="183" fontId="76" fillId="0" borderId="111" xfId="258" applyFont="1" applyBorder="1" applyAlignment="1">
      <alignment horizontal="center" vertical="center"/>
    </xf>
    <xf numFmtId="183" fontId="76" fillId="0" borderId="20" xfId="258" applyFont="1" applyBorder="1" applyAlignment="1">
      <alignment horizontal="center" vertical="center"/>
    </xf>
    <xf numFmtId="183" fontId="76" fillId="0" borderId="21" xfId="258" applyFont="1" applyBorder="1" applyAlignment="1">
      <alignment horizontal="center" vertical="center"/>
    </xf>
    <xf numFmtId="37" fontId="76" fillId="0" borderId="17" xfId="257" applyFont="1" applyBorder="1" applyAlignment="1">
      <alignment horizontal="center" vertical="center"/>
    </xf>
    <xf numFmtId="37" fontId="76" fillId="0" borderId="0" xfId="257" applyFont="1" applyAlignment="1">
      <alignment horizontal="center" vertical="center"/>
    </xf>
    <xf numFmtId="37" fontId="76" fillId="0" borderId="55" xfId="257" applyFont="1" applyBorder="1" applyAlignment="1">
      <alignment horizontal="center" vertical="center"/>
    </xf>
    <xf numFmtId="0" fontId="15" fillId="0" borderId="0" xfId="252" applyAlignment="1">
      <alignment horizontal="center"/>
    </xf>
    <xf numFmtId="0" fontId="15" fillId="30" borderId="75" xfId="252" applyFill="1" applyBorder="1" applyAlignment="1">
      <alignment horizontal="center"/>
    </xf>
    <xf numFmtId="0" fontId="15" fillId="30" borderId="0" xfId="252" applyFill="1" applyAlignment="1">
      <alignment horizontal="center"/>
    </xf>
    <xf numFmtId="3" fontId="31" fillId="8" borderId="2" xfId="102" applyNumberFormat="1" applyFont="1" applyFill="1" applyBorder="1" applyAlignment="1">
      <alignment horizontal="center"/>
    </xf>
    <xf numFmtId="3" fontId="31" fillId="8" borderId="3" xfId="102" applyNumberFormat="1" applyFont="1" applyFill="1" applyBorder="1" applyAlignment="1">
      <alignment horizontal="center"/>
    </xf>
    <xf numFmtId="3" fontId="31" fillId="8" borderId="4" xfId="102" applyNumberFormat="1" applyFont="1" applyFill="1" applyBorder="1" applyAlignment="1">
      <alignment horizontal="center"/>
    </xf>
    <xf numFmtId="167" fontId="29" fillId="0" borderId="2" xfId="103" applyNumberFormat="1" applyFont="1" applyBorder="1" applyAlignment="1">
      <alignment horizontal="center"/>
    </xf>
    <xf numFmtId="167" fontId="29" fillId="0" borderId="4" xfId="103" applyNumberFormat="1" applyFont="1" applyBorder="1" applyAlignment="1">
      <alignment horizontal="center"/>
    </xf>
    <xf numFmtId="0" fontId="16" fillId="6" borderId="24" xfId="174" applyFont="1" applyFill="1" applyBorder="1" applyAlignment="1">
      <alignment horizontal="center"/>
    </xf>
    <xf numFmtId="0" fontId="16" fillId="6" borderId="25" xfId="174" applyFont="1" applyFill="1" applyBorder="1" applyAlignment="1">
      <alignment horizontal="center"/>
    </xf>
    <xf numFmtId="0" fontId="16" fillId="6" borderId="26" xfId="174" applyFont="1" applyFill="1" applyBorder="1" applyAlignment="1">
      <alignment horizontal="center"/>
    </xf>
    <xf numFmtId="0" fontId="16" fillId="0" borderId="38" xfId="174" applyFont="1" applyBorder="1" applyAlignment="1">
      <alignment horizontal="center"/>
    </xf>
    <xf numFmtId="0" fontId="16" fillId="0" borderId="39" xfId="174" applyFont="1" applyBorder="1" applyAlignment="1">
      <alignment horizontal="center"/>
    </xf>
    <xf numFmtId="0" fontId="16" fillId="0" borderId="40" xfId="174" applyFont="1" applyBorder="1" applyAlignment="1">
      <alignment horizontal="center"/>
    </xf>
    <xf numFmtId="0" fontId="16" fillId="6" borderId="2" xfId="174" applyFont="1" applyFill="1" applyBorder="1" applyAlignment="1">
      <alignment horizontal="center"/>
    </xf>
    <xf numFmtId="0" fontId="16" fillId="6" borderId="3" xfId="174" applyFont="1" applyFill="1" applyBorder="1" applyAlignment="1">
      <alignment horizontal="center"/>
    </xf>
    <xf numFmtId="0" fontId="16" fillId="6" borderId="4" xfId="174" applyFont="1" applyFill="1" applyBorder="1" applyAlignment="1">
      <alignment horizontal="center"/>
    </xf>
    <xf numFmtId="0" fontId="16" fillId="6" borderId="0" xfId="174" applyFont="1" applyFill="1" applyAlignment="1">
      <alignment horizontal="left"/>
    </xf>
    <xf numFmtId="0" fontId="16" fillId="6" borderId="33" xfId="174" applyFont="1" applyFill="1" applyBorder="1" applyAlignment="1">
      <alignment horizontal="center"/>
    </xf>
    <xf numFmtId="0" fontId="16" fillId="6" borderId="34" xfId="174" applyFont="1" applyFill="1" applyBorder="1" applyAlignment="1">
      <alignment horizontal="center"/>
    </xf>
    <xf numFmtId="0" fontId="16" fillId="6" borderId="35" xfId="174" applyFont="1" applyFill="1" applyBorder="1" applyAlignment="1">
      <alignment horizontal="center"/>
    </xf>
    <xf numFmtId="0" fontId="16" fillId="6" borderId="2" xfId="174" applyFont="1" applyFill="1" applyBorder="1" applyAlignment="1">
      <alignment horizontal="center" vertical="center"/>
    </xf>
    <xf numFmtId="0" fontId="16" fillId="6" borderId="4" xfId="174" applyFont="1" applyFill="1" applyBorder="1" applyAlignment="1">
      <alignment horizontal="center" vertical="center"/>
    </xf>
    <xf numFmtId="0" fontId="32" fillId="6" borderId="0" xfId="174" applyFont="1" applyFill="1" applyAlignment="1">
      <alignment horizontal="center" wrapText="1"/>
    </xf>
    <xf numFmtId="0" fontId="32" fillId="6" borderId="14" xfId="174" applyFont="1" applyFill="1" applyBorder="1" applyAlignment="1">
      <alignment horizontal="center" wrapText="1"/>
    </xf>
    <xf numFmtId="0" fontId="16" fillId="17" borderId="9" xfId="252" applyFont="1" applyFill="1" applyBorder="1" applyAlignment="1">
      <alignment horizontal="left"/>
    </xf>
    <xf numFmtId="0" fontId="16" fillId="6" borderId="2" xfId="0" applyFont="1" applyFill="1" applyBorder="1" applyAlignment="1">
      <alignment horizontal="center"/>
    </xf>
    <xf numFmtId="0" fontId="16" fillId="6" borderId="3" xfId="0" applyFont="1" applyFill="1" applyBorder="1" applyAlignment="1">
      <alignment horizontal="center"/>
    </xf>
    <xf numFmtId="0" fontId="16" fillId="6" borderId="4" xfId="0" applyFont="1" applyFill="1" applyBorder="1" applyAlignment="1">
      <alignment horizontal="center"/>
    </xf>
    <xf numFmtId="0" fontId="16" fillId="6" borderId="24" xfId="0" applyFont="1" applyFill="1" applyBorder="1" applyAlignment="1">
      <alignment horizontal="center"/>
    </xf>
    <xf numFmtId="0" fontId="16" fillId="6" borderId="25" xfId="0" applyFont="1" applyFill="1" applyBorder="1" applyAlignment="1">
      <alignment horizontal="center"/>
    </xf>
    <xf numFmtId="0" fontId="16" fillId="6" borderId="26" xfId="0" applyFont="1" applyFill="1" applyBorder="1" applyAlignment="1">
      <alignment horizontal="center"/>
    </xf>
    <xf numFmtId="0" fontId="16" fillId="6" borderId="0" xfId="0" applyFont="1" applyFill="1" applyAlignment="1">
      <alignment horizontal="left"/>
    </xf>
    <xf numFmtId="0" fontId="16" fillId="6" borderId="2" xfId="0" applyFont="1" applyFill="1" applyBorder="1" applyAlignment="1">
      <alignment horizontal="center" vertical="center"/>
    </xf>
    <xf numFmtId="0" fontId="16" fillId="6" borderId="4" xfId="0" applyFont="1" applyFill="1" applyBorder="1" applyAlignment="1">
      <alignment horizontal="center" vertical="center"/>
    </xf>
    <xf numFmtId="0" fontId="8" fillId="16" borderId="2" xfId="0" applyFont="1" applyFill="1" applyBorder="1" applyAlignment="1">
      <alignment horizontal="center"/>
    </xf>
    <xf numFmtId="0" fontId="8" fillId="16" borderId="3" xfId="0" applyFont="1" applyFill="1" applyBorder="1" applyAlignment="1">
      <alignment horizontal="center"/>
    </xf>
    <xf numFmtId="0" fontId="8" fillId="16" borderId="4" xfId="0" applyFont="1" applyFill="1" applyBorder="1" applyAlignment="1">
      <alignment horizontal="center"/>
    </xf>
  </cellXfs>
  <cellStyles count="260">
    <cellStyle name="Comma" xfId="1" builtinId="3"/>
    <cellStyle name="Comma 2" xfId="52" xr:uid="{00000000-0005-0000-0000-000001000000}"/>
    <cellStyle name="Comma 3" xfId="87" xr:uid="{00000000-0005-0000-0000-000002000000}"/>
    <cellStyle name="Comma 3 2" xfId="205" xr:uid="{00000000-0005-0000-0000-000003000000}"/>
    <cellStyle name="Comma 4" xfId="103" xr:uid="{00000000-0005-0000-0000-000004000000}"/>
    <cellStyle name="Comma 5" xfId="250" xr:uid="{6FB879BB-6FE7-1649-A996-FEAACCBDDC5D}"/>
    <cellStyle name="Currency" xfId="248" builtinId="4"/>
    <cellStyle name="Currency 2" xfId="53" xr:uid="{00000000-0005-0000-0000-000006000000}"/>
    <cellStyle name="Currency 2 2" xfId="255" xr:uid="{BE13297F-2844-A14D-96F6-3FE7A9665FDD}"/>
    <cellStyle name="Currency 2 3" xfId="258" xr:uid="{FD8708EE-E038-BA49-859F-92191E4877DE}"/>
    <cellStyle name="Currency 3" xfId="251" xr:uid="{937A73DF-160F-5D44-81A1-2536B8561B68}"/>
    <cellStyle name="Currency 4" xfId="254" xr:uid="{07D8F6DC-1202-1B40-A08E-8662B9DC974A}"/>
    <cellStyle name="estimate" xfId="172" xr:uid="{00000000-0005-0000-0000-000007000000}"/>
    <cellStyle name="Extensions" xfId="173" xr:uid="{00000000-0005-0000-0000-000008000000}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Followed Hyperlink" xfId="151" builtinId="9" hidde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Followed Hyperlink" xfId="169" builtinId="9" hidden="1"/>
    <cellStyle name="Followed Hyperlink" xfId="171" builtinId="9" hidden="1"/>
    <cellStyle name="Followed Hyperlink" xfId="197" builtinId="9" hidden="1"/>
    <cellStyle name="Followed Hyperlink" xfId="199" builtinId="9" hidden="1"/>
    <cellStyle name="Followed Hyperlink" xfId="201" builtinId="9" hidden="1"/>
    <cellStyle name="Followed Hyperlink" xfId="203" builtinId="9" hidden="1"/>
    <cellStyle name="Followed Hyperlink" xfId="207" builtinId="9" hidden="1"/>
    <cellStyle name="Followed Hyperlink" xfId="209" builtinId="9" hidden="1"/>
    <cellStyle name="Followed Hyperlink" xfId="211" builtinId="9" hidden="1"/>
    <cellStyle name="Followed Hyperlink" xfId="213" builtinId="9" hidden="1"/>
    <cellStyle name="Followed Hyperlink" xfId="215" builtinId="9" hidden="1"/>
    <cellStyle name="Followed Hyperlink" xfId="217" builtinId="9" hidden="1"/>
    <cellStyle name="Followed Hyperlink" xfId="219" builtinId="9" hidden="1"/>
    <cellStyle name="Followed Hyperlink" xfId="221" builtinId="9" hidden="1"/>
    <cellStyle name="Followed Hyperlink" xfId="223" builtinId="9" hidden="1"/>
    <cellStyle name="Followed Hyperlink" xfId="225" builtinId="9" hidden="1"/>
    <cellStyle name="Followed Hyperlink" xfId="227" builtinId="9" hidden="1"/>
    <cellStyle name="Followed Hyperlink" xfId="229" builtinId="9" hidden="1"/>
    <cellStyle name="Followed Hyperlink" xfId="231" builtinId="9" hidden="1"/>
    <cellStyle name="Followed Hyperlink" xfId="233" builtinId="9" hidden="1"/>
    <cellStyle name="Followed Hyperlink" xfId="235" builtinId="9" hidden="1"/>
    <cellStyle name="Followed Hyperlink" xfId="237" builtinId="9" hidden="1"/>
    <cellStyle name="Followed Hyperlink" xfId="239" builtinId="9" hidden="1"/>
    <cellStyle name="Followed Hyperlink" xfId="241" builtinId="9" hidden="1"/>
    <cellStyle name="Followed Hyperlink" xfId="243" builtinId="9" hidden="1"/>
    <cellStyle name="Followed Hyperlink" xfId="245" builtinId="9" hidden="1"/>
    <cellStyle name="Followed Hyperlink" xfId="247" builtinId="9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Hyperlink" xfId="196" builtinId="8" hidden="1"/>
    <cellStyle name="Hyperlink" xfId="198" builtinId="8" hidden="1"/>
    <cellStyle name="Hyperlink" xfId="200" builtinId="8" hidden="1"/>
    <cellStyle name="Hyperlink" xfId="202" builtinId="8" hidden="1"/>
    <cellStyle name="Hyperlink" xfId="206" builtinId="8" hidden="1"/>
    <cellStyle name="Hyperlink" xfId="208" builtinId="8" hidden="1"/>
    <cellStyle name="Hyperlink" xfId="210" builtinId="8" hidden="1"/>
    <cellStyle name="Hyperlink" xfId="212" builtinId="8" hidden="1"/>
    <cellStyle name="Hyperlink" xfId="214" builtinId="8" hidden="1"/>
    <cellStyle name="Hyperlink" xfId="216" builtinId="8" hidden="1"/>
    <cellStyle name="Hyperlink" xfId="218" builtinId="8" hidden="1"/>
    <cellStyle name="Hyperlink" xfId="220" builtinId="8" hidden="1"/>
    <cellStyle name="Hyperlink" xfId="222" builtinId="8" hidden="1"/>
    <cellStyle name="Hyperlink" xfId="224" builtinId="8" hidden="1"/>
    <cellStyle name="Hyperlink" xfId="226" builtinId="8" hidden="1"/>
    <cellStyle name="Hyperlink" xfId="228" builtinId="8" hidden="1"/>
    <cellStyle name="Hyperlink" xfId="230" builtinId="8" hidden="1"/>
    <cellStyle name="Hyperlink" xfId="232" builtinId="8" hidden="1"/>
    <cellStyle name="Hyperlink" xfId="234" builtinId="8" hidden="1"/>
    <cellStyle name="Hyperlink" xfId="236" builtinId="8" hidden="1"/>
    <cellStyle name="Hyperlink" xfId="238" builtinId="8" hidden="1"/>
    <cellStyle name="Hyperlink" xfId="240" builtinId="8" hidden="1"/>
    <cellStyle name="Hyperlink" xfId="242" builtinId="8" hidden="1"/>
    <cellStyle name="Hyperlink" xfId="244" builtinId="8" hidden="1"/>
    <cellStyle name="Hyperlink" xfId="246" builtinId="8" hidden="1"/>
    <cellStyle name="Hyperlink" xfId="253" builtinId="8"/>
    <cellStyle name="Normal" xfId="0" builtinId="0"/>
    <cellStyle name="Normal 10" xfId="174" xr:uid="{00000000-0005-0000-0000-0000DE000000}"/>
    <cellStyle name="Normal 11" xfId="175" xr:uid="{00000000-0005-0000-0000-0000DF000000}"/>
    <cellStyle name="Normal 12" xfId="176" xr:uid="{00000000-0005-0000-0000-0000E0000000}"/>
    <cellStyle name="Normal 13" xfId="177" xr:uid="{00000000-0005-0000-0000-0000E1000000}"/>
    <cellStyle name="Normal 13 2" xfId="178" xr:uid="{00000000-0005-0000-0000-0000E2000000}"/>
    <cellStyle name="Normal 13 3" xfId="179" xr:uid="{00000000-0005-0000-0000-0000E3000000}"/>
    <cellStyle name="Normal 13 4" xfId="180" xr:uid="{00000000-0005-0000-0000-0000E4000000}"/>
    <cellStyle name="Normal 13 5" xfId="181" xr:uid="{00000000-0005-0000-0000-0000E5000000}"/>
    <cellStyle name="Normal 14" xfId="182" xr:uid="{00000000-0005-0000-0000-0000E6000000}"/>
    <cellStyle name="Normal 15" xfId="249" xr:uid="{1F9C1636-1F45-3846-A4FB-276C5E1A197E}"/>
    <cellStyle name="Normal 2" xfId="51" xr:uid="{00000000-0005-0000-0000-0000E7000000}"/>
    <cellStyle name="Normal 2 2" xfId="54" xr:uid="{00000000-0005-0000-0000-0000E8000000}"/>
    <cellStyle name="Normal 2 3" xfId="252" xr:uid="{DDDF26D5-02B9-5145-844D-D7F4A4F99A9F}"/>
    <cellStyle name="Normal 2 4" xfId="257" xr:uid="{ACC6CB52-A8FB-BC4D-AA2A-54276DFEDC54}"/>
    <cellStyle name="Normal 3" xfId="102" xr:uid="{00000000-0005-0000-0000-0000E9000000}"/>
    <cellStyle name="Normal 3 2" xfId="183" xr:uid="{00000000-0005-0000-0000-0000EA000000}"/>
    <cellStyle name="Normal 3 3" xfId="184" xr:uid="{00000000-0005-0000-0000-0000EB000000}"/>
    <cellStyle name="Normal 3 4" xfId="185" xr:uid="{00000000-0005-0000-0000-0000EC000000}"/>
    <cellStyle name="Normal 3 5" xfId="186" xr:uid="{00000000-0005-0000-0000-0000ED000000}"/>
    <cellStyle name="Normal 3 6" xfId="204" xr:uid="{00000000-0005-0000-0000-0000EE000000}"/>
    <cellStyle name="Normal 4" xfId="187" xr:uid="{00000000-0005-0000-0000-0000EF000000}"/>
    <cellStyle name="Normal 5" xfId="188" xr:uid="{00000000-0005-0000-0000-0000F0000000}"/>
    <cellStyle name="Normal 5 2" xfId="256" xr:uid="{7680077F-1580-A345-B622-A34C0430ACC9}"/>
    <cellStyle name="Normal 6" xfId="189" xr:uid="{00000000-0005-0000-0000-0000F1000000}"/>
    <cellStyle name="Normal 7" xfId="190" xr:uid="{00000000-0005-0000-0000-0000F2000000}"/>
    <cellStyle name="Normal 8" xfId="191" xr:uid="{00000000-0005-0000-0000-0000F3000000}"/>
    <cellStyle name="Normal 9" xfId="192" xr:uid="{00000000-0005-0000-0000-0000F4000000}"/>
    <cellStyle name="Normal_ABNORMALS - REVISED - BLANK" xfId="259" xr:uid="{BA5FDA4D-2C09-1B48-BFEE-7D97E0461EE7}"/>
    <cellStyle name="Per cent" xfId="2" builtinId="5"/>
    <cellStyle name="Percent 2" xfId="193" xr:uid="{00000000-0005-0000-0000-0000F6000000}"/>
    <cellStyle name="Quants" xfId="194" xr:uid="{00000000-0005-0000-0000-0000F7000000}"/>
    <cellStyle name="Tonnes" xfId="195" xr:uid="{00000000-0005-0000-0000-0000F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6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.xml"/><Relationship Id="rId42" Type="http://schemas.openxmlformats.org/officeDocument/2006/relationships/externalLink" Target="externalLinks/externalLink9.xml"/><Relationship Id="rId47" Type="http://schemas.openxmlformats.org/officeDocument/2006/relationships/externalLink" Target="externalLinks/externalLink14.xml"/><Relationship Id="rId50" Type="http://schemas.openxmlformats.org/officeDocument/2006/relationships/externalLink" Target="externalLinks/externalLink17.xml"/><Relationship Id="rId55" Type="http://schemas.openxmlformats.org/officeDocument/2006/relationships/externalLink" Target="externalLinks/externalLink2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4.xml"/><Relationship Id="rId40" Type="http://schemas.openxmlformats.org/officeDocument/2006/relationships/externalLink" Target="externalLinks/externalLink7.xml"/><Relationship Id="rId45" Type="http://schemas.openxmlformats.org/officeDocument/2006/relationships/externalLink" Target="externalLinks/externalLink12.xml"/><Relationship Id="rId53" Type="http://schemas.openxmlformats.org/officeDocument/2006/relationships/externalLink" Target="externalLinks/externalLink20.xml"/><Relationship Id="rId58" Type="http://schemas.openxmlformats.org/officeDocument/2006/relationships/externalLink" Target="externalLinks/externalLink25.xml"/><Relationship Id="rId5" Type="http://schemas.openxmlformats.org/officeDocument/2006/relationships/worksheet" Target="worksheets/sheet5.xml"/><Relationship Id="rId61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2.xml"/><Relationship Id="rId43" Type="http://schemas.openxmlformats.org/officeDocument/2006/relationships/externalLink" Target="externalLinks/externalLink10.xml"/><Relationship Id="rId48" Type="http://schemas.openxmlformats.org/officeDocument/2006/relationships/externalLink" Target="externalLinks/externalLink15.xml"/><Relationship Id="rId56" Type="http://schemas.openxmlformats.org/officeDocument/2006/relationships/externalLink" Target="externalLinks/externalLink23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1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5.xml"/><Relationship Id="rId46" Type="http://schemas.openxmlformats.org/officeDocument/2006/relationships/externalLink" Target="externalLinks/externalLink13.xml"/><Relationship Id="rId59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8.xml"/><Relationship Id="rId54" Type="http://schemas.openxmlformats.org/officeDocument/2006/relationships/externalLink" Target="externalLinks/externalLink21.xml"/><Relationship Id="rId62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3.xml"/><Relationship Id="rId49" Type="http://schemas.openxmlformats.org/officeDocument/2006/relationships/externalLink" Target="externalLinks/externalLink16.xml"/><Relationship Id="rId57" Type="http://schemas.openxmlformats.org/officeDocument/2006/relationships/externalLink" Target="externalLinks/externalLink24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11.xml"/><Relationship Id="rId52" Type="http://schemas.openxmlformats.org/officeDocument/2006/relationships/externalLink" Target="externalLinks/externalLink19.xml"/><Relationship Id="rId6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34</xdr:row>
      <xdr:rowOff>12699</xdr:rowOff>
    </xdr:from>
    <xdr:to>
      <xdr:col>24</xdr:col>
      <xdr:colOff>228600</xdr:colOff>
      <xdr:row>119</xdr:row>
      <xdr:rowOff>49008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B596A5A-6EF8-AC47-9054-B415D4664A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5600" y="6515099"/>
          <a:ext cx="11468100" cy="1622880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330200</xdr:colOff>
      <xdr:row>8</xdr:row>
      <xdr:rowOff>114300</xdr:rowOff>
    </xdr:from>
    <xdr:to>
      <xdr:col>24</xdr:col>
      <xdr:colOff>660400</xdr:colOff>
      <xdr:row>39</xdr:row>
      <xdr:rowOff>165100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E56AD1-B76D-E4B0-B838-CABBCE8D3B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50400" y="1651000"/>
          <a:ext cx="5257800" cy="6184900"/>
        </a:xfrm>
        <a:prstGeom prst="rect">
          <a:avLst/>
        </a:prstGeom>
      </xdr:spPr>
    </xdr:pic>
    <xdr:clientData/>
  </xdr:twoCellAnchor>
  <xdr:twoCellAnchor editAs="oneCell">
    <xdr:from>
      <xdr:col>13</xdr:col>
      <xdr:colOff>419100</xdr:colOff>
      <xdr:row>40</xdr:row>
      <xdr:rowOff>88900</xdr:rowOff>
    </xdr:from>
    <xdr:to>
      <xdr:col>36</xdr:col>
      <xdr:colOff>660400</xdr:colOff>
      <xdr:row>60</xdr:row>
      <xdr:rowOff>50623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24DE24A-6967-A637-4D6A-50FE3A9EC8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639300" y="7950200"/>
          <a:ext cx="7772400" cy="380982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50800</xdr:colOff>
      <xdr:row>8</xdr:row>
      <xdr:rowOff>50800</xdr:rowOff>
    </xdr:from>
    <xdr:to>
      <xdr:col>7</xdr:col>
      <xdr:colOff>57150</xdr:colOff>
      <xdr:row>20</xdr:row>
      <xdr:rowOff>6350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FD6F55E4-E247-A44E-AC32-D0510D82FACD}"/>
            </a:ext>
          </a:extLst>
        </xdr:cNvPr>
        <xdr:cNvCxnSpPr/>
      </xdr:nvCxnSpPr>
      <xdr:spPr>
        <a:xfrm>
          <a:off x="4673600" y="1371600"/>
          <a:ext cx="6350" cy="19367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18</xdr:row>
      <xdr:rowOff>38100</xdr:rowOff>
    </xdr:from>
    <xdr:to>
      <xdr:col>12</xdr:col>
      <xdr:colOff>0</xdr:colOff>
      <xdr:row>18</xdr:row>
      <xdr:rowOff>38100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32B877A4-BEE6-0542-9E65-6F435F8B0D1A}"/>
            </a:ext>
          </a:extLst>
        </xdr:cNvPr>
        <xdr:cNvCxnSpPr/>
      </xdr:nvCxnSpPr>
      <xdr:spPr>
        <a:xfrm>
          <a:off x="5283200" y="3009900"/>
          <a:ext cx="26416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469900</xdr:colOff>
      <xdr:row>15</xdr:row>
      <xdr:rowOff>0</xdr:rowOff>
    </xdr:from>
    <xdr:to>
      <xdr:col>10</xdr:col>
      <xdr:colOff>355600</xdr:colOff>
      <xdr:row>15</xdr:row>
      <xdr:rowOff>6350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0394963B-6936-C440-9DFD-5BCF59793123}"/>
            </a:ext>
          </a:extLst>
        </xdr:cNvPr>
        <xdr:cNvCxnSpPr/>
      </xdr:nvCxnSpPr>
      <xdr:spPr>
        <a:xfrm flipV="1">
          <a:off x="5092700" y="2476500"/>
          <a:ext cx="1866900" cy="63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6350</xdr:colOff>
      <xdr:row>11</xdr:row>
      <xdr:rowOff>6350</xdr:rowOff>
    </xdr:from>
    <xdr:to>
      <xdr:col>9</xdr:col>
      <xdr:colOff>368300</xdr:colOff>
      <xdr:row>11</xdr:row>
      <xdr:rowOff>6350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85E4B152-3410-6A47-87A7-19F08B676B02}"/>
            </a:ext>
          </a:extLst>
        </xdr:cNvPr>
        <xdr:cNvCxnSpPr/>
      </xdr:nvCxnSpPr>
      <xdr:spPr>
        <a:xfrm>
          <a:off x="5289550" y="1822450"/>
          <a:ext cx="102235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342900</xdr:colOff>
      <xdr:row>14</xdr:row>
      <xdr:rowOff>114300</xdr:rowOff>
    </xdr:from>
    <xdr:to>
      <xdr:col>13</xdr:col>
      <xdr:colOff>577850</xdr:colOff>
      <xdr:row>17</xdr:row>
      <xdr:rowOff>101600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CBB64FE4-C351-EA40-B321-7FDF63B4D45A}"/>
            </a:ext>
          </a:extLst>
        </xdr:cNvPr>
        <xdr:cNvCxnSpPr/>
      </xdr:nvCxnSpPr>
      <xdr:spPr>
        <a:xfrm flipV="1">
          <a:off x="7607300" y="2425700"/>
          <a:ext cx="1555750" cy="4826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7</xdr:row>
      <xdr:rowOff>6350</xdr:rowOff>
    </xdr:from>
    <xdr:to>
      <xdr:col>9</xdr:col>
      <xdr:colOff>1269</xdr:colOff>
      <xdr:row>9</xdr:row>
      <xdr:rowOff>88900</xdr:rowOff>
    </xdr:to>
    <xdr:sp macro="" textlink="">
      <xdr:nvSpPr>
        <xdr:cNvPr id="7" name="Can 6">
          <a:extLst>
            <a:ext uri="{FF2B5EF4-FFF2-40B4-BE49-F238E27FC236}">
              <a16:creationId xmlns:a16="http://schemas.microsoft.com/office/drawing/2014/main" id="{020A01D6-85A8-6546-8CA7-6190633816C3}"/>
            </a:ext>
          </a:extLst>
        </xdr:cNvPr>
        <xdr:cNvSpPr/>
      </xdr:nvSpPr>
      <xdr:spPr>
        <a:xfrm>
          <a:off x="5626100" y="1162050"/>
          <a:ext cx="318769" cy="412750"/>
        </a:xfrm>
        <a:prstGeom prst="can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63500</xdr:colOff>
      <xdr:row>5</xdr:row>
      <xdr:rowOff>63500</xdr:rowOff>
    </xdr:from>
    <xdr:to>
      <xdr:col>10</xdr:col>
      <xdr:colOff>317500</xdr:colOff>
      <xdr:row>7</xdr:row>
      <xdr:rowOff>133350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0DE66570-DC77-A04A-A9CE-96BD6958EE22}"/>
            </a:ext>
          </a:extLst>
        </xdr:cNvPr>
        <xdr:cNvCxnSpPr/>
      </xdr:nvCxnSpPr>
      <xdr:spPr>
        <a:xfrm flipV="1">
          <a:off x="6007100" y="889000"/>
          <a:ext cx="914400" cy="4000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63500</xdr:colOff>
      <xdr:row>10</xdr:row>
      <xdr:rowOff>6350</xdr:rowOff>
    </xdr:from>
    <xdr:to>
      <xdr:col>12</xdr:col>
      <xdr:colOff>88900</xdr:colOff>
      <xdr:row>12</xdr:row>
      <xdr:rowOff>57150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69D986D7-D1BC-A74F-A20E-4FE51D068AA1}"/>
            </a:ext>
          </a:extLst>
        </xdr:cNvPr>
        <xdr:cNvCxnSpPr/>
      </xdr:nvCxnSpPr>
      <xdr:spPr>
        <a:xfrm flipV="1">
          <a:off x="7327900" y="1657350"/>
          <a:ext cx="685800" cy="38100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82550</xdr:colOff>
      <xdr:row>18</xdr:row>
      <xdr:rowOff>152400</xdr:rowOff>
    </xdr:from>
    <xdr:to>
      <xdr:col>12</xdr:col>
      <xdr:colOff>203200</xdr:colOff>
      <xdr:row>19</xdr:row>
      <xdr:rowOff>120650</xdr:rowOff>
    </xdr:to>
    <xdr:sp macro="" textlink="">
      <xdr:nvSpPr>
        <xdr:cNvPr id="10" name="Flowchart: Connector 9">
          <a:extLst>
            <a:ext uri="{FF2B5EF4-FFF2-40B4-BE49-F238E27FC236}">
              <a16:creationId xmlns:a16="http://schemas.microsoft.com/office/drawing/2014/main" id="{CFDF2215-4A87-C845-B53F-2DC4CF9A7FBC}"/>
            </a:ext>
          </a:extLst>
        </xdr:cNvPr>
        <xdr:cNvSpPr/>
      </xdr:nvSpPr>
      <xdr:spPr>
        <a:xfrm>
          <a:off x="8007350" y="3124200"/>
          <a:ext cx="120650" cy="133350"/>
        </a:xfrm>
        <a:prstGeom prst="flowChartConnec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260350</xdr:colOff>
      <xdr:row>19</xdr:row>
      <xdr:rowOff>0</xdr:rowOff>
    </xdr:from>
    <xdr:to>
      <xdr:col>13</xdr:col>
      <xdr:colOff>76200</xdr:colOff>
      <xdr:row>19</xdr:row>
      <xdr:rowOff>127000</xdr:rowOff>
    </xdr:to>
    <xdr:sp macro="" textlink="">
      <xdr:nvSpPr>
        <xdr:cNvPr id="11" name="Flowchart: Connector 10">
          <a:extLst>
            <a:ext uri="{FF2B5EF4-FFF2-40B4-BE49-F238E27FC236}">
              <a16:creationId xmlns:a16="http://schemas.microsoft.com/office/drawing/2014/main" id="{76BA0CF6-BC2F-B94E-AD6B-5AAD977F7A4E}"/>
            </a:ext>
          </a:extLst>
        </xdr:cNvPr>
        <xdr:cNvSpPr/>
      </xdr:nvSpPr>
      <xdr:spPr>
        <a:xfrm>
          <a:off x="8185150" y="3136900"/>
          <a:ext cx="476250" cy="127000"/>
        </a:xfrm>
        <a:prstGeom prst="flowChartConnec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19050</xdr:colOff>
      <xdr:row>21</xdr:row>
      <xdr:rowOff>50800</xdr:rowOff>
    </xdr:from>
    <xdr:to>
      <xdr:col>11</xdr:col>
      <xdr:colOff>368300</xdr:colOff>
      <xdr:row>23</xdr:row>
      <xdr:rowOff>114300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67345231-AC15-CA45-B56B-F36B441C146A}"/>
            </a:ext>
          </a:extLst>
        </xdr:cNvPr>
        <xdr:cNvCxnSpPr/>
      </xdr:nvCxnSpPr>
      <xdr:spPr>
        <a:xfrm>
          <a:off x="6623050" y="3517900"/>
          <a:ext cx="1009650" cy="3937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57150</xdr:colOff>
      <xdr:row>2</xdr:row>
      <xdr:rowOff>133350</xdr:rowOff>
    </xdr:from>
    <xdr:to>
      <xdr:col>10</xdr:col>
      <xdr:colOff>342900</xdr:colOff>
      <xdr:row>7</xdr:row>
      <xdr:rowOff>114300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E2B98ACB-8A28-AA41-A338-36E2C2959460}"/>
            </a:ext>
          </a:extLst>
        </xdr:cNvPr>
        <xdr:cNvCxnSpPr/>
      </xdr:nvCxnSpPr>
      <xdr:spPr>
        <a:xfrm flipV="1">
          <a:off x="5340350" y="463550"/>
          <a:ext cx="1606550" cy="8064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273050</xdr:colOff>
      <xdr:row>6</xdr:row>
      <xdr:rowOff>69850</xdr:rowOff>
    </xdr:from>
    <xdr:to>
      <xdr:col>13</xdr:col>
      <xdr:colOff>508000</xdr:colOff>
      <xdr:row>9</xdr:row>
      <xdr:rowOff>50800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id="{33DDDE91-D470-BD41-B496-6F43134412D3}"/>
            </a:ext>
          </a:extLst>
        </xdr:cNvPr>
        <xdr:cNvCxnSpPr/>
      </xdr:nvCxnSpPr>
      <xdr:spPr>
        <a:xfrm flipV="1">
          <a:off x="7537450" y="1060450"/>
          <a:ext cx="1555750" cy="4762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22</xdr:row>
      <xdr:rowOff>69850</xdr:rowOff>
    </xdr:from>
    <xdr:to>
      <xdr:col>7</xdr:col>
      <xdr:colOff>304800</xdr:colOff>
      <xdr:row>22</xdr:row>
      <xdr:rowOff>69850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87DE1941-B56D-EC48-B979-6E481735B994}"/>
            </a:ext>
          </a:extLst>
        </xdr:cNvPr>
        <xdr:cNvCxnSpPr/>
      </xdr:nvCxnSpPr>
      <xdr:spPr>
        <a:xfrm>
          <a:off x="4622800" y="3702050"/>
          <a:ext cx="3048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476250</xdr:colOff>
      <xdr:row>22</xdr:row>
      <xdr:rowOff>69850</xdr:rowOff>
    </xdr:from>
    <xdr:to>
      <xdr:col>12</xdr:col>
      <xdr:colOff>298450</xdr:colOff>
      <xdr:row>22</xdr:row>
      <xdr:rowOff>69850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43F3CBBF-3B5C-E343-8063-145A4F7119BC}"/>
            </a:ext>
          </a:extLst>
        </xdr:cNvPr>
        <xdr:cNvCxnSpPr/>
      </xdr:nvCxnSpPr>
      <xdr:spPr>
        <a:xfrm>
          <a:off x="7740650" y="3702050"/>
          <a:ext cx="4826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50800</xdr:colOff>
      <xdr:row>57</xdr:row>
      <xdr:rowOff>50800</xdr:rowOff>
    </xdr:from>
    <xdr:to>
      <xdr:col>7</xdr:col>
      <xdr:colOff>57150</xdr:colOff>
      <xdr:row>69</xdr:row>
      <xdr:rowOff>6350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id="{B980D1AF-3B1C-7046-BEAE-1C475B479B0E}"/>
            </a:ext>
          </a:extLst>
        </xdr:cNvPr>
        <xdr:cNvCxnSpPr/>
      </xdr:nvCxnSpPr>
      <xdr:spPr>
        <a:xfrm>
          <a:off x="7975600" y="1409700"/>
          <a:ext cx="6350" cy="20383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67</xdr:row>
      <xdr:rowOff>38100</xdr:rowOff>
    </xdr:from>
    <xdr:to>
      <xdr:col>12</xdr:col>
      <xdr:colOff>0</xdr:colOff>
      <xdr:row>67</xdr:row>
      <xdr:rowOff>38100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id="{0B42A8C5-3172-514F-B1CA-96C4749A98C0}"/>
            </a:ext>
          </a:extLst>
        </xdr:cNvPr>
        <xdr:cNvCxnSpPr/>
      </xdr:nvCxnSpPr>
      <xdr:spPr>
        <a:xfrm>
          <a:off x="8267700" y="3136900"/>
          <a:ext cx="17780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469900</xdr:colOff>
      <xdr:row>64</xdr:row>
      <xdr:rowOff>0</xdr:rowOff>
    </xdr:from>
    <xdr:to>
      <xdr:col>10</xdr:col>
      <xdr:colOff>355600</xdr:colOff>
      <xdr:row>64</xdr:row>
      <xdr:rowOff>6350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id="{C65B07E4-AC39-B946-8AB8-14BEA1F715E5}"/>
            </a:ext>
          </a:extLst>
        </xdr:cNvPr>
        <xdr:cNvCxnSpPr/>
      </xdr:nvCxnSpPr>
      <xdr:spPr>
        <a:xfrm flipV="1">
          <a:off x="8267700" y="2578100"/>
          <a:ext cx="1181100" cy="63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6350</xdr:colOff>
      <xdr:row>60</xdr:row>
      <xdr:rowOff>6350</xdr:rowOff>
    </xdr:from>
    <xdr:to>
      <xdr:col>9</xdr:col>
      <xdr:colOff>368300</xdr:colOff>
      <xdr:row>60</xdr:row>
      <xdr:rowOff>6350</xdr:rowOff>
    </xdr:to>
    <xdr:cxnSp macro="">
      <xdr:nvCxnSpPr>
        <xdr:cNvPr id="20" name="Straight Arrow Connector 19">
          <a:extLst>
            <a:ext uri="{FF2B5EF4-FFF2-40B4-BE49-F238E27FC236}">
              <a16:creationId xmlns:a16="http://schemas.microsoft.com/office/drawing/2014/main" id="{416DB82D-C100-9B47-926A-81EF1BCB1302}"/>
            </a:ext>
          </a:extLst>
        </xdr:cNvPr>
        <xdr:cNvCxnSpPr/>
      </xdr:nvCxnSpPr>
      <xdr:spPr>
        <a:xfrm>
          <a:off x="8274050" y="1898650"/>
          <a:ext cx="78105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342900</xdr:colOff>
      <xdr:row>63</xdr:row>
      <xdr:rowOff>114300</xdr:rowOff>
    </xdr:from>
    <xdr:to>
      <xdr:col>13</xdr:col>
      <xdr:colOff>577850</xdr:colOff>
      <xdr:row>66</xdr:row>
      <xdr:rowOff>101600</xdr:rowOff>
    </xdr:to>
    <xdr:cxnSp macro="">
      <xdr:nvCxnSpPr>
        <xdr:cNvPr id="21" name="Straight Arrow Connector 20">
          <a:extLst>
            <a:ext uri="{FF2B5EF4-FFF2-40B4-BE49-F238E27FC236}">
              <a16:creationId xmlns:a16="http://schemas.microsoft.com/office/drawing/2014/main" id="{9098D475-E710-FD49-B0E7-D96AE18A7CF5}"/>
            </a:ext>
          </a:extLst>
        </xdr:cNvPr>
        <xdr:cNvCxnSpPr/>
      </xdr:nvCxnSpPr>
      <xdr:spPr>
        <a:xfrm flipV="1">
          <a:off x="9867900" y="2527300"/>
          <a:ext cx="1085850" cy="5080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56</xdr:row>
      <xdr:rowOff>6350</xdr:rowOff>
    </xdr:from>
    <xdr:to>
      <xdr:col>9</xdr:col>
      <xdr:colOff>1269</xdr:colOff>
      <xdr:row>58</xdr:row>
      <xdr:rowOff>88900</xdr:rowOff>
    </xdr:to>
    <xdr:sp macro="" textlink="">
      <xdr:nvSpPr>
        <xdr:cNvPr id="22" name="Can 21">
          <a:extLst>
            <a:ext uri="{FF2B5EF4-FFF2-40B4-BE49-F238E27FC236}">
              <a16:creationId xmlns:a16="http://schemas.microsoft.com/office/drawing/2014/main" id="{D3553DCE-65A1-1B44-920F-B41F0C421A0C}"/>
            </a:ext>
          </a:extLst>
        </xdr:cNvPr>
        <xdr:cNvSpPr/>
      </xdr:nvSpPr>
      <xdr:spPr>
        <a:xfrm>
          <a:off x="8610600" y="1187450"/>
          <a:ext cx="77469" cy="450850"/>
        </a:xfrm>
        <a:prstGeom prst="can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63500</xdr:colOff>
      <xdr:row>59</xdr:row>
      <xdr:rowOff>6350</xdr:rowOff>
    </xdr:from>
    <xdr:to>
      <xdr:col>12</xdr:col>
      <xdr:colOff>88900</xdr:colOff>
      <xdr:row>61</xdr:row>
      <xdr:rowOff>57150</xdr:rowOff>
    </xdr:to>
    <xdr:cxnSp macro="">
      <xdr:nvCxnSpPr>
        <xdr:cNvPr id="23" name="Straight Arrow Connector 22">
          <a:extLst>
            <a:ext uri="{FF2B5EF4-FFF2-40B4-BE49-F238E27FC236}">
              <a16:creationId xmlns:a16="http://schemas.microsoft.com/office/drawing/2014/main" id="{7C4116F2-DB1D-6647-AB8E-F593FBE6619E}"/>
            </a:ext>
          </a:extLst>
        </xdr:cNvPr>
        <xdr:cNvCxnSpPr/>
      </xdr:nvCxnSpPr>
      <xdr:spPr>
        <a:xfrm flipV="1">
          <a:off x="9588500" y="1733550"/>
          <a:ext cx="546100" cy="39370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82550</xdr:colOff>
      <xdr:row>67</xdr:row>
      <xdr:rowOff>152400</xdr:rowOff>
    </xdr:from>
    <xdr:to>
      <xdr:col>12</xdr:col>
      <xdr:colOff>203200</xdr:colOff>
      <xdr:row>68</xdr:row>
      <xdr:rowOff>120650</xdr:rowOff>
    </xdr:to>
    <xdr:sp macro="" textlink="">
      <xdr:nvSpPr>
        <xdr:cNvPr id="24" name="Flowchart: Connector 9">
          <a:extLst>
            <a:ext uri="{FF2B5EF4-FFF2-40B4-BE49-F238E27FC236}">
              <a16:creationId xmlns:a16="http://schemas.microsoft.com/office/drawing/2014/main" id="{1B06158E-52E6-004D-A367-A6EB368F75F8}"/>
            </a:ext>
          </a:extLst>
        </xdr:cNvPr>
        <xdr:cNvSpPr/>
      </xdr:nvSpPr>
      <xdr:spPr>
        <a:xfrm>
          <a:off x="10128250" y="3251200"/>
          <a:ext cx="120650" cy="133350"/>
        </a:xfrm>
        <a:prstGeom prst="flowChartConnec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260350</xdr:colOff>
      <xdr:row>68</xdr:row>
      <xdr:rowOff>0</xdr:rowOff>
    </xdr:from>
    <xdr:to>
      <xdr:col>13</xdr:col>
      <xdr:colOff>76200</xdr:colOff>
      <xdr:row>68</xdr:row>
      <xdr:rowOff>127000</xdr:rowOff>
    </xdr:to>
    <xdr:sp macro="" textlink="">
      <xdr:nvSpPr>
        <xdr:cNvPr id="25" name="Flowchart: Connector 10">
          <a:extLst>
            <a:ext uri="{FF2B5EF4-FFF2-40B4-BE49-F238E27FC236}">
              <a16:creationId xmlns:a16="http://schemas.microsoft.com/office/drawing/2014/main" id="{260CDC91-664B-2A48-9EC0-DA366B90D048}"/>
            </a:ext>
          </a:extLst>
        </xdr:cNvPr>
        <xdr:cNvSpPr/>
      </xdr:nvSpPr>
      <xdr:spPr>
        <a:xfrm>
          <a:off x="10306050" y="3263900"/>
          <a:ext cx="146050" cy="127000"/>
        </a:xfrm>
        <a:prstGeom prst="flowChartConnec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19050</xdr:colOff>
      <xdr:row>70</xdr:row>
      <xdr:rowOff>50800</xdr:rowOff>
    </xdr:from>
    <xdr:to>
      <xdr:col>11</xdr:col>
      <xdr:colOff>368300</xdr:colOff>
      <xdr:row>72</xdr:row>
      <xdr:rowOff>114300</xdr:rowOff>
    </xdr:to>
    <xdr:cxnSp macro="">
      <xdr:nvCxnSpPr>
        <xdr:cNvPr id="26" name="Straight Arrow Connector 25">
          <a:extLst>
            <a:ext uri="{FF2B5EF4-FFF2-40B4-BE49-F238E27FC236}">
              <a16:creationId xmlns:a16="http://schemas.microsoft.com/office/drawing/2014/main" id="{A583C67A-4EA5-A74B-8E55-8CBC119151AF}"/>
            </a:ext>
          </a:extLst>
        </xdr:cNvPr>
        <xdr:cNvCxnSpPr/>
      </xdr:nvCxnSpPr>
      <xdr:spPr>
        <a:xfrm>
          <a:off x="9112250" y="3670300"/>
          <a:ext cx="781050" cy="3937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273050</xdr:colOff>
      <xdr:row>55</xdr:row>
      <xdr:rowOff>69850</xdr:rowOff>
    </xdr:from>
    <xdr:to>
      <xdr:col>13</xdr:col>
      <xdr:colOff>508000</xdr:colOff>
      <xdr:row>58</xdr:row>
      <xdr:rowOff>50800</xdr:rowOff>
    </xdr:to>
    <xdr:cxnSp macro="">
      <xdr:nvCxnSpPr>
        <xdr:cNvPr id="27" name="Straight Arrow Connector 26">
          <a:extLst>
            <a:ext uri="{FF2B5EF4-FFF2-40B4-BE49-F238E27FC236}">
              <a16:creationId xmlns:a16="http://schemas.microsoft.com/office/drawing/2014/main" id="{C46E8D6F-3EB5-7646-AF97-A0794E386BE6}"/>
            </a:ext>
          </a:extLst>
        </xdr:cNvPr>
        <xdr:cNvCxnSpPr/>
      </xdr:nvCxnSpPr>
      <xdr:spPr>
        <a:xfrm flipV="1">
          <a:off x="9798050" y="1085850"/>
          <a:ext cx="1085850" cy="5143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71</xdr:row>
      <xdr:rowOff>69850</xdr:rowOff>
    </xdr:from>
    <xdr:to>
      <xdr:col>7</xdr:col>
      <xdr:colOff>304800</xdr:colOff>
      <xdr:row>71</xdr:row>
      <xdr:rowOff>69850</xdr:rowOff>
    </xdr:to>
    <xdr:cxnSp macro="">
      <xdr:nvCxnSpPr>
        <xdr:cNvPr id="28" name="Straight Arrow Connector 27">
          <a:extLst>
            <a:ext uri="{FF2B5EF4-FFF2-40B4-BE49-F238E27FC236}">
              <a16:creationId xmlns:a16="http://schemas.microsoft.com/office/drawing/2014/main" id="{9FE0B1E8-F9D2-3446-A343-1829857A64E3}"/>
            </a:ext>
          </a:extLst>
        </xdr:cNvPr>
        <xdr:cNvCxnSpPr/>
      </xdr:nvCxnSpPr>
      <xdr:spPr>
        <a:xfrm>
          <a:off x="7924800" y="3854450"/>
          <a:ext cx="3048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476250</xdr:colOff>
      <xdr:row>71</xdr:row>
      <xdr:rowOff>69850</xdr:rowOff>
    </xdr:from>
    <xdr:to>
      <xdr:col>12</xdr:col>
      <xdr:colOff>298450</xdr:colOff>
      <xdr:row>71</xdr:row>
      <xdr:rowOff>69850</xdr:rowOff>
    </xdr:to>
    <xdr:cxnSp macro="">
      <xdr:nvCxnSpPr>
        <xdr:cNvPr id="29" name="Straight Arrow Connector 28">
          <a:extLst>
            <a:ext uri="{FF2B5EF4-FFF2-40B4-BE49-F238E27FC236}">
              <a16:creationId xmlns:a16="http://schemas.microsoft.com/office/drawing/2014/main" id="{0074411D-B4A8-B044-96F1-0D9F4615D7A8}"/>
            </a:ext>
          </a:extLst>
        </xdr:cNvPr>
        <xdr:cNvCxnSpPr/>
      </xdr:nvCxnSpPr>
      <xdr:spPr>
        <a:xfrm>
          <a:off x="10001250" y="3854450"/>
          <a:ext cx="3429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50800</xdr:colOff>
      <xdr:row>107</xdr:row>
      <xdr:rowOff>50800</xdr:rowOff>
    </xdr:from>
    <xdr:to>
      <xdr:col>7</xdr:col>
      <xdr:colOff>57150</xdr:colOff>
      <xdr:row>119</xdr:row>
      <xdr:rowOff>6350</xdr:rowOff>
    </xdr:to>
    <xdr:cxnSp macro="">
      <xdr:nvCxnSpPr>
        <xdr:cNvPr id="30" name="Straight Arrow Connector 29">
          <a:extLst>
            <a:ext uri="{FF2B5EF4-FFF2-40B4-BE49-F238E27FC236}">
              <a16:creationId xmlns:a16="http://schemas.microsoft.com/office/drawing/2014/main" id="{39538B42-3FB9-5C40-826D-929E4BFC98BE}"/>
            </a:ext>
          </a:extLst>
        </xdr:cNvPr>
        <xdr:cNvCxnSpPr/>
      </xdr:nvCxnSpPr>
      <xdr:spPr>
        <a:xfrm>
          <a:off x="7975600" y="1409700"/>
          <a:ext cx="6350" cy="20383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117</xdr:row>
      <xdr:rowOff>38100</xdr:rowOff>
    </xdr:from>
    <xdr:to>
      <xdr:col>12</xdr:col>
      <xdr:colOff>0</xdr:colOff>
      <xdr:row>117</xdr:row>
      <xdr:rowOff>38100</xdr:rowOff>
    </xdr:to>
    <xdr:cxnSp macro="">
      <xdr:nvCxnSpPr>
        <xdr:cNvPr id="31" name="Straight Arrow Connector 30">
          <a:extLst>
            <a:ext uri="{FF2B5EF4-FFF2-40B4-BE49-F238E27FC236}">
              <a16:creationId xmlns:a16="http://schemas.microsoft.com/office/drawing/2014/main" id="{40021889-033D-854A-AC19-6E61A3D71C42}"/>
            </a:ext>
          </a:extLst>
        </xdr:cNvPr>
        <xdr:cNvCxnSpPr/>
      </xdr:nvCxnSpPr>
      <xdr:spPr>
        <a:xfrm>
          <a:off x="8267700" y="3136900"/>
          <a:ext cx="17780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469900</xdr:colOff>
      <xdr:row>114</xdr:row>
      <xdr:rowOff>0</xdr:rowOff>
    </xdr:from>
    <xdr:to>
      <xdr:col>10</xdr:col>
      <xdr:colOff>355600</xdr:colOff>
      <xdr:row>114</xdr:row>
      <xdr:rowOff>6350</xdr:rowOff>
    </xdr:to>
    <xdr:cxnSp macro="">
      <xdr:nvCxnSpPr>
        <xdr:cNvPr id="32" name="Straight Arrow Connector 31">
          <a:extLst>
            <a:ext uri="{FF2B5EF4-FFF2-40B4-BE49-F238E27FC236}">
              <a16:creationId xmlns:a16="http://schemas.microsoft.com/office/drawing/2014/main" id="{FE260856-E2DF-6741-836A-61D92040CA88}"/>
            </a:ext>
          </a:extLst>
        </xdr:cNvPr>
        <xdr:cNvCxnSpPr/>
      </xdr:nvCxnSpPr>
      <xdr:spPr>
        <a:xfrm flipV="1">
          <a:off x="8267700" y="2578100"/>
          <a:ext cx="1181100" cy="63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6350</xdr:colOff>
      <xdr:row>110</xdr:row>
      <xdr:rowOff>6350</xdr:rowOff>
    </xdr:from>
    <xdr:to>
      <xdr:col>9</xdr:col>
      <xdr:colOff>368300</xdr:colOff>
      <xdr:row>110</xdr:row>
      <xdr:rowOff>6350</xdr:rowOff>
    </xdr:to>
    <xdr:cxnSp macro="">
      <xdr:nvCxnSpPr>
        <xdr:cNvPr id="33" name="Straight Arrow Connector 32">
          <a:extLst>
            <a:ext uri="{FF2B5EF4-FFF2-40B4-BE49-F238E27FC236}">
              <a16:creationId xmlns:a16="http://schemas.microsoft.com/office/drawing/2014/main" id="{46B0695D-CC36-404F-97EF-2B5D4BF32C74}"/>
            </a:ext>
          </a:extLst>
        </xdr:cNvPr>
        <xdr:cNvCxnSpPr/>
      </xdr:nvCxnSpPr>
      <xdr:spPr>
        <a:xfrm>
          <a:off x="8274050" y="1898650"/>
          <a:ext cx="78105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342900</xdr:colOff>
      <xdr:row>113</xdr:row>
      <xdr:rowOff>114300</xdr:rowOff>
    </xdr:from>
    <xdr:to>
      <xdr:col>13</xdr:col>
      <xdr:colOff>577850</xdr:colOff>
      <xdr:row>116</xdr:row>
      <xdr:rowOff>101600</xdr:rowOff>
    </xdr:to>
    <xdr:cxnSp macro="">
      <xdr:nvCxnSpPr>
        <xdr:cNvPr id="34" name="Straight Arrow Connector 33">
          <a:extLst>
            <a:ext uri="{FF2B5EF4-FFF2-40B4-BE49-F238E27FC236}">
              <a16:creationId xmlns:a16="http://schemas.microsoft.com/office/drawing/2014/main" id="{49E3BE6A-DB0C-CB42-AF6A-73EA96256ABB}"/>
            </a:ext>
          </a:extLst>
        </xdr:cNvPr>
        <xdr:cNvCxnSpPr/>
      </xdr:nvCxnSpPr>
      <xdr:spPr>
        <a:xfrm flipV="1">
          <a:off x="9867900" y="2527300"/>
          <a:ext cx="1085850" cy="5080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106</xdr:row>
      <xdr:rowOff>6350</xdr:rowOff>
    </xdr:from>
    <xdr:to>
      <xdr:col>9</xdr:col>
      <xdr:colOff>1269</xdr:colOff>
      <xdr:row>108</xdr:row>
      <xdr:rowOff>88900</xdr:rowOff>
    </xdr:to>
    <xdr:sp macro="" textlink="">
      <xdr:nvSpPr>
        <xdr:cNvPr id="35" name="Can 34">
          <a:extLst>
            <a:ext uri="{FF2B5EF4-FFF2-40B4-BE49-F238E27FC236}">
              <a16:creationId xmlns:a16="http://schemas.microsoft.com/office/drawing/2014/main" id="{A553E712-5882-264C-A21A-A26B181072EA}"/>
            </a:ext>
          </a:extLst>
        </xdr:cNvPr>
        <xdr:cNvSpPr/>
      </xdr:nvSpPr>
      <xdr:spPr>
        <a:xfrm>
          <a:off x="8610600" y="1187450"/>
          <a:ext cx="77469" cy="450850"/>
        </a:xfrm>
        <a:prstGeom prst="can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63500</xdr:colOff>
      <xdr:row>109</xdr:row>
      <xdr:rowOff>6350</xdr:rowOff>
    </xdr:from>
    <xdr:to>
      <xdr:col>12</xdr:col>
      <xdr:colOff>88900</xdr:colOff>
      <xdr:row>111</xdr:row>
      <xdr:rowOff>57150</xdr:rowOff>
    </xdr:to>
    <xdr:cxnSp macro="">
      <xdr:nvCxnSpPr>
        <xdr:cNvPr id="36" name="Straight Arrow Connector 35">
          <a:extLst>
            <a:ext uri="{FF2B5EF4-FFF2-40B4-BE49-F238E27FC236}">
              <a16:creationId xmlns:a16="http://schemas.microsoft.com/office/drawing/2014/main" id="{861973E5-2D0C-974F-8E5C-7696B4A3AD58}"/>
            </a:ext>
          </a:extLst>
        </xdr:cNvPr>
        <xdr:cNvCxnSpPr/>
      </xdr:nvCxnSpPr>
      <xdr:spPr>
        <a:xfrm flipV="1">
          <a:off x="9588500" y="1733550"/>
          <a:ext cx="546100" cy="39370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82550</xdr:colOff>
      <xdr:row>117</xdr:row>
      <xdr:rowOff>152400</xdr:rowOff>
    </xdr:from>
    <xdr:to>
      <xdr:col>12</xdr:col>
      <xdr:colOff>203200</xdr:colOff>
      <xdr:row>118</xdr:row>
      <xdr:rowOff>120650</xdr:rowOff>
    </xdr:to>
    <xdr:sp macro="" textlink="">
      <xdr:nvSpPr>
        <xdr:cNvPr id="37" name="Flowchart: Connector 9">
          <a:extLst>
            <a:ext uri="{FF2B5EF4-FFF2-40B4-BE49-F238E27FC236}">
              <a16:creationId xmlns:a16="http://schemas.microsoft.com/office/drawing/2014/main" id="{AF30EB50-5F0F-4246-8A95-6BD4D109256A}"/>
            </a:ext>
          </a:extLst>
        </xdr:cNvPr>
        <xdr:cNvSpPr/>
      </xdr:nvSpPr>
      <xdr:spPr>
        <a:xfrm>
          <a:off x="10128250" y="3251200"/>
          <a:ext cx="120650" cy="133350"/>
        </a:xfrm>
        <a:prstGeom prst="flowChartConnec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260350</xdr:colOff>
      <xdr:row>118</xdr:row>
      <xdr:rowOff>0</xdr:rowOff>
    </xdr:from>
    <xdr:to>
      <xdr:col>13</xdr:col>
      <xdr:colOff>76200</xdr:colOff>
      <xdr:row>118</xdr:row>
      <xdr:rowOff>127000</xdr:rowOff>
    </xdr:to>
    <xdr:sp macro="" textlink="">
      <xdr:nvSpPr>
        <xdr:cNvPr id="38" name="Flowchart: Connector 10">
          <a:extLst>
            <a:ext uri="{FF2B5EF4-FFF2-40B4-BE49-F238E27FC236}">
              <a16:creationId xmlns:a16="http://schemas.microsoft.com/office/drawing/2014/main" id="{48F99C5C-A783-8940-BB39-35F00FBA4C1F}"/>
            </a:ext>
          </a:extLst>
        </xdr:cNvPr>
        <xdr:cNvSpPr/>
      </xdr:nvSpPr>
      <xdr:spPr>
        <a:xfrm>
          <a:off x="10306050" y="3263900"/>
          <a:ext cx="146050" cy="127000"/>
        </a:xfrm>
        <a:prstGeom prst="flowChartConnec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19050</xdr:colOff>
      <xdr:row>120</xdr:row>
      <xdr:rowOff>50800</xdr:rowOff>
    </xdr:from>
    <xdr:to>
      <xdr:col>11</xdr:col>
      <xdr:colOff>368300</xdr:colOff>
      <xdr:row>122</xdr:row>
      <xdr:rowOff>114300</xdr:rowOff>
    </xdr:to>
    <xdr:cxnSp macro="">
      <xdr:nvCxnSpPr>
        <xdr:cNvPr id="39" name="Straight Arrow Connector 38">
          <a:extLst>
            <a:ext uri="{FF2B5EF4-FFF2-40B4-BE49-F238E27FC236}">
              <a16:creationId xmlns:a16="http://schemas.microsoft.com/office/drawing/2014/main" id="{9EE9E74C-8AAD-EA4C-B041-53CD4E393AF9}"/>
            </a:ext>
          </a:extLst>
        </xdr:cNvPr>
        <xdr:cNvCxnSpPr/>
      </xdr:nvCxnSpPr>
      <xdr:spPr>
        <a:xfrm>
          <a:off x="9112250" y="3670300"/>
          <a:ext cx="781050" cy="3937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273050</xdr:colOff>
      <xdr:row>105</xdr:row>
      <xdr:rowOff>69850</xdr:rowOff>
    </xdr:from>
    <xdr:to>
      <xdr:col>13</xdr:col>
      <xdr:colOff>508000</xdr:colOff>
      <xdr:row>108</xdr:row>
      <xdr:rowOff>50800</xdr:rowOff>
    </xdr:to>
    <xdr:cxnSp macro="">
      <xdr:nvCxnSpPr>
        <xdr:cNvPr id="40" name="Straight Arrow Connector 39">
          <a:extLst>
            <a:ext uri="{FF2B5EF4-FFF2-40B4-BE49-F238E27FC236}">
              <a16:creationId xmlns:a16="http://schemas.microsoft.com/office/drawing/2014/main" id="{47EC492A-D903-9B4D-85AE-9A67952FE867}"/>
            </a:ext>
          </a:extLst>
        </xdr:cNvPr>
        <xdr:cNvCxnSpPr/>
      </xdr:nvCxnSpPr>
      <xdr:spPr>
        <a:xfrm flipV="1">
          <a:off x="9798050" y="1085850"/>
          <a:ext cx="1085850" cy="5143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121</xdr:row>
      <xdr:rowOff>69850</xdr:rowOff>
    </xdr:from>
    <xdr:to>
      <xdr:col>7</xdr:col>
      <xdr:colOff>304800</xdr:colOff>
      <xdr:row>121</xdr:row>
      <xdr:rowOff>69850</xdr:rowOff>
    </xdr:to>
    <xdr:cxnSp macro="">
      <xdr:nvCxnSpPr>
        <xdr:cNvPr id="41" name="Straight Arrow Connector 40">
          <a:extLst>
            <a:ext uri="{FF2B5EF4-FFF2-40B4-BE49-F238E27FC236}">
              <a16:creationId xmlns:a16="http://schemas.microsoft.com/office/drawing/2014/main" id="{BABC36BF-0FE4-E140-9044-FBAE4DD86829}"/>
            </a:ext>
          </a:extLst>
        </xdr:cNvPr>
        <xdr:cNvCxnSpPr/>
      </xdr:nvCxnSpPr>
      <xdr:spPr>
        <a:xfrm>
          <a:off x="7924800" y="3854450"/>
          <a:ext cx="3048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476250</xdr:colOff>
      <xdr:row>121</xdr:row>
      <xdr:rowOff>69850</xdr:rowOff>
    </xdr:from>
    <xdr:to>
      <xdr:col>12</xdr:col>
      <xdr:colOff>298450</xdr:colOff>
      <xdr:row>121</xdr:row>
      <xdr:rowOff>69850</xdr:rowOff>
    </xdr:to>
    <xdr:cxnSp macro="">
      <xdr:nvCxnSpPr>
        <xdr:cNvPr id="42" name="Straight Arrow Connector 41">
          <a:extLst>
            <a:ext uri="{FF2B5EF4-FFF2-40B4-BE49-F238E27FC236}">
              <a16:creationId xmlns:a16="http://schemas.microsoft.com/office/drawing/2014/main" id="{0536B68B-EE2C-7E49-A7F2-97AF5873FCD4}"/>
            </a:ext>
          </a:extLst>
        </xdr:cNvPr>
        <xdr:cNvCxnSpPr/>
      </xdr:nvCxnSpPr>
      <xdr:spPr>
        <a:xfrm>
          <a:off x="10001250" y="3854450"/>
          <a:ext cx="3429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50800</xdr:colOff>
      <xdr:row>63</xdr:row>
      <xdr:rowOff>50800</xdr:rowOff>
    </xdr:from>
    <xdr:to>
      <xdr:col>7</xdr:col>
      <xdr:colOff>57150</xdr:colOff>
      <xdr:row>75</xdr:row>
      <xdr:rowOff>6350</xdr:rowOff>
    </xdr:to>
    <xdr:cxnSp macro="">
      <xdr:nvCxnSpPr>
        <xdr:cNvPr id="43" name="Straight Arrow Connector 42">
          <a:extLst>
            <a:ext uri="{FF2B5EF4-FFF2-40B4-BE49-F238E27FC236}">
              <a16:creationId xmlns:a16="http://schemas.microsoft.com/office/drawing/2014/main" id="{936D64C6-8689-9F4F-8F9B-717E2825C354}"/>
            </a:ext>
          </a:extLst>
        </xdr:cNvPr>
        <xdr:cNvCxnSpPr/>
      </xdr:nvCxnSpPr>
      <xdr:spPr>
        <a:xfrm>
          <a:off x="7975600" y="1409700"/>
          <a:ext cx="6350" cy="20383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73</xdr:row>
      <xdr:rowOff>38100</xdr:rowOff>
    </xdr:from>
    <xdr:to>
      <xdr:col>12</xdr:col>
      <xdr:colOff>0</xdr:colOff>
      <xdr:row>73</xdr:row>
      <xdr:rowOff>38100</xdr:rowOff>
    </xdr:to>
    <xdr:cxnSp macro="">
      <xdr:nvCxnSpPr>
        <xdr:cNvPr id="44" name="Straight Arrow Connector 43">
          <a:extLst>
            <a:ext uri="{FF2B5EF4-FFF2-40B4-BE49-F238E27FC236}">
              <a16:creationId xmlns:a16="http://schemas.microsoft.com/office/drawing/2014/main" id="{B35DD21D-EA5E-C04B-A370-0C1EA3D5EDB2}"/>
            </a:ext>
          </a:extLst>
        </xdr:cNvPr>
        <xdr:cNvCxnSpPr/>
      </xdr:nvCxnSpPr>
      <xdr:spPr>
        <a:xfrm>
          <a:off x="8267700" y="3136900"/>
          <a:ext cx="17780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469900</xdr:colOff>
      <xdr:row>70</xdr:row>
      <xdr:rowOff>0</xdr:rowOff>
    </xdr:from>
    <xdr:to>
      <xdr:col>10</xdr:col>
      <xdr:colOff>355600</xdr:colOff>
      <xdr:row>70</xdr:row>
      <xdr:rowOff>6350</xdr:rowOff>
    </xdr:to>
    <xdr:cxnSp macro="">
      <xdr:nvCxnSpPr>
        <xdr:cNvPr id="45" name="Straight Arrow Connector 44">
          <a:extLst>
            <a:ext uri="{FF2B5EF4-FFF2-40B4-BE49-F238E27FC236}">
              <a16:creationId xmlns:a16="http://schemas.microsoft.com/office/drawing/2014/main" id="{921A2BB8-288F-5B4F-A6E2-C2C90FA412AF}"/>
            </a:ext>
          </a:extLst>
        </xdr:cNvPr>
        <xdr:cNvCxnSpPr/>
      </xdr:nvCxnSpPr>
      <xdr:spPr>
        <a:xfrm flipV="1">
          <a:off x="8267700" y="2578100"/>
          <a:ext cx="1181100" cy="63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6350</xdr:colOff>
      <xdr:row>66</xdr:row>
      <xdr:rowOff>6350</xdr:rowOff>
    </xdr:from>
    <xdr:to>
      <xdr:col>9</xdr:col>
      <xdr:colOff>368300</xdr:colOff>
      <xdr:row>66</xdr:row>
      <xdr:rowOff>6350</xdr:rowOff>
    </xdr:to>
    <xdr:cxnSp macro="">
      <xdr:nvCxnSpPr>
        <xdr:cNvPr id="46" name="Straight Arrow Connector 45">
          <a:extLst>
            <a:ext uri="{FF2B5EF4-FFF2-40B4-BE49-F238E27FC236}">
              <a16:creationId xmlns:a16="http://schemas.microsoft.com/office/drawing/2014/main" id="{477632B9-3F57-FF41-A6C6-6DBE21D0BE9A}"/>
            </a:ext>
          </a:extLst>
        </xdr:cNvPr>
        <xdr:cNvCxnSpPr/>
      </xdr:nvCxnSpPr>
      <xdr:spPr>
        <a:xfrm>
          <a:off x="8274050" y="1898650"/>
          <a:ext cx="78105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342900</xdr:colOff>
      <xdr:row>69</xdr:row>
      <xdr:rowOff>114300</xdr:rowOff>
    </xdr:from>
    <xdr:to>
      <xdr:col>13</xdr:col>
      <xdr:colOff>577850</xdr:colOff>
      <xdr:row>72</xdr:row>
      <xdr:rowOff>101600</xdr:rowOff>
    </xdr:to>
    <xdr:cxnSp macro="">
      <xdr:nvCxnSpPr>
        <xdr:cNvPr id="47" name="Straight Arrow Connector 46">
          <a:extLst>
            <a:ext uri="{FF2B5EF4-FFF2-40B4-BE49-F238E27FC236}">
              <a16:creationId xmlns:a16="http://schemas.microsoft.com/office/drawing/2014/main" id="{03E93B31-01C0-6245-9289-E75B6F44C343}"/>
            </a:ext>
          </a:extLst>
        </xdr:cNvPr>
        <xdr:cNvCxnSpPr/>
      </xdr:nvCxnSpPr>
      <xdr:spPr>
        <a:xfrm flipV="1">
          <a:off x="9867900" y="2527300"/>
          <a:ext cx="1085850" cy="5080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62</xdr:row>
      <xdr:rowOff>6350</xdr:rowOff>
    </xdr:from>
    <xdr:to>
      <xdr:col>9</xdr:col>
      <xdr:colOff>1269</xdr:colOff>
      <xdr:row>64</xdr:row>
      <xdr:rowOff>88900</xdr:rowOff>
    </xdr:to>
    <xdr:sp macro="" textlink="">
      <xdr:nvSpPr>
        <xdr:cNvPr id="48" name="Can 47">
          <a:extLst>
            <a:ext uri="{FF2B5EF4-FFF2-40B4-BE49-F238E27FC236}">
              <a16:creationId xmlns:a16="http://schemas.microsoft.com/office/drawing/2014/main" id="{95170E40-4ED7-1240-BA27-B847C7D1F441}"/>
            </a:ext>
          </a:extLst>
        </xdr:cNvPr>
        <xdr:cNvSpPr/>
      </xdr:nvSpPr>
      <xdr:spPr>
        <a:xfrm>
          <a:off x="8610600" y="1187450"/>
          <a:ext cx="77469" cy="450850"/>
        </a:xfrm>
        <a:prstGeom prst="can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63500</xdr:colOff>
      <xdr:row>60</xdr:row>
      <xdr:rowOff>63500</xdr:rowOff>
    </xdr:from>
    <xdr:to>
      <xdr:col>10</xdr:col>
      <xdr:colOff>317500</xdr:colOff>
      <xdr:row>62</xdr:row>
      <xdr:rowOff>133350</xdr:rowOff>
    </xdr:to>
    <xdr:cxnSp macro="">
      <xdr:nvCxnSpPr>
        <xdr:cNvPr id="49" name="Straight Arrow Connector 48">
          <a:extLst>
            <a:ext uri="{FF2B5EF4-FFF2-40B4-BE49-F238E27FC236}">
              <a16:creationId xmlns:a16="http://schemas.microsoft.com/office/drawing/2014/main" id="{26DD40DE-F17C-834D-B4B3-897037F66151}"/>
            </a:ext>
          </a:extLst>
        </xdr:cNvPr>
        <xdr:cNvCxnSpPr/>
      </xdr:nvCxnSpPr>
      <xdr:spPr>
        <a:xfrm flipV="1">
          <a:off x="8750300" y="914400"/>
          <a:ext cx="660400" cy="4000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63500</xdr:colOff>
      <xdr:row>65</xdr:row>
      <xdr:rowOff>6350</xdr:rowOff>
    </xdr:from>
    <xdr:to>
      <xdr:col>12</xdr:col>
      <xdr:colOff>88900</xdr:colOff>
      <xdr:row>67</xdr:row>
      <xdr:rowOff>57150</xdr:rowOff>
    </xdr:to>
    <xdr:cxnSp macro="">
      <xdr:nvCxnSpPr>
        <xdr:cNvPr id="50" name="Straight Arrow Connector 49">
          <a:extLst>
            <a:ext uri="{FF2B5EF4-FFF2-40B4-BE49-F238E27FC236}">
              <a16:creationId xmlns:a16="http://schemas.microsoft.com/office/drawing/2014/main" id="{ABB3240D-8338-F249-A766-1C07853CC624}"/>
            </a:ext>
          </a:extLst>
        </xdr:cNvPr>
        <xdr:cNvCxnSpPr/>
      </xdr:nvCxnSpPr>
      <xdr:spPr>
        <a:xfrm flipV="1">
          <a:off x="9588500" y="1733550"/>
          <a:ext cx="546100" cy="39370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82550</xdr:colOff>
      <xdr:row>73</xdr:row>
      <xdr:rowOff>152400</xdr:rowOff>
    </xdr:from>
    <xdr:to>
      <xdr:col>12</xdr:col>
      <xdr:colOff>203200</xdr:colOff>
      <xdr:row>74</xdr:row>
      <xdr:rowOff>120650</xdr:rowOff>
    </xdr:to>
    <xdr:sp macro="" textlink="">
      <xdr:nvSpPr>
        <xdr:cNvPr id="51" name="Flowchart: Connector 9">
          <a:extLst>
            <a:ext uri="{FF2B5EF4-FFF2-40B4-BE49-F238E27FC236}">
              <a16:creationId xmlns:a16="http://schemas.microsoft.com/office/drawing/2014/main" id="{FE0C0696-37A9-C84D-8B12-A2C45DF5A11D}"/>
            </a:ext>
          </a:extLst>
        </xdr:cNvPr>
        <xdr:cNvSpPr/>
      </xdr:nvSpPr>
      <xdr:spPr>
        <a:xfrm>
          <a:off x="10128250" y="3251200"/>
          <a:ext cx="120650" cy="133350"/>
        </a:xfrm>
        <a:prstGeom prst="flowChartConnec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260350</xdr:colOff>
      <xdr:row>74</xdr:row>
      <xdr:rowOff>0</xdr:rowOff>
    </xdr:from>
    <xdr:to>
      <xdr:col>13</xdr:col>
      <xdr:colOff>76200</xdr:colOff>
      <xdr:row>74</xdr:row>
      <xdr:rowOff>127000</xdr:rowOff>
    </xdr:to>
    <xdr:sp macro="" textlink="">
      <xdr:nvSpPr>
        <xdr:cNvPr id="52" name="Flowchart: Connector 10">
          <a:extLst>
            <a:ext uri="{FF2B5EF4-FFF2-40B4-BE49-F238E27FC236}">
              <a16:creationId xmlns:a16="http://schemas.microsoft.com/office/drawing/2014/main" id="{B1C4BE1E-6499-804F-BEF0-DF7D4BC081A8}"/>
            </a:ext>
          </a:extLst>
        </xdr:cNvPr>
        <xdr:cNvSpPr/>
      </xdr:nvSpPr>
      <xdr:spPr>
        <a:xfrm>
          <a:off x="10306050" y="3263900"/>
          <a:ext cx="146050" cy="127000"/>
        </a:xfrm>
        <a:prstGeom prst="flowChartConnec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19050</xdr:colOff>
      <xdr:row>76</xdr:row>
      <xdr:rowOff>50800</xdr:rowOff>
    </xdr:from>
    <xdr:to>
      <xdr:col>11</xdr:col>
      <xdr:colOff>368300</xdr:colOff>
      <xdr:row>78</xdr:row>
      <xdr:rowOff>114300</xdr:rowOff>
    </xdr:to>
    <xdr:cxnSp macro="">
      <xdr:nvCxnSpPr>
        <xdr:cNvPr id="53" name="Straight Arrow Connector 52">
          <a:extLst>
            <a:ext uri="{FF2B5EF4-FFF2-40B4-BE49-F238E27FC236}">
              <a16:creationId xmlns:a16="http://schemas.microsoft.com/office/drawing/2014/main" id="{A4F2173F-5E69-BD4A-B8C9-445D61A37869}"/>
            </a:ext>
          </a:extLst>
        </xdr:cNvPr>
        <xdr:cNvCxnSpPr/>
      </xdr:nvCxnSpPr>
      <xdr:spPr>
        <a:xfrm>
          <a:off x="9112250" y="3670300"/>
          <a:ext cx="781050" cy="3937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57150</xdr:colOff>
      <xdr:row>57</xdr:row>
      <xdr:rowOff>133350</xdr:rowOff>
    </xdr:from>
    <xdr:to>
      <xdr:col>10</xdr:col>
      <xdr:colOff>342900</xdr:colOff>
      <xdr:row>62</xdr:row>
      <xdr:rowOff>114300</xdr:rowOff>
    </xdr:to>
    <xdr:cxnSp macro="">
      <xdr:nvCxnSpPr>
        <xdr:cNvPr id="54" name="Straight Arrow Connector 53">
          <a:extLst>
            <a:ext uri="{FF2B5EF4-FFF2-40B4-BE49-F238E27FC236}">
              <a16:creationId xmlns:a16="http://schemas.microsoft.com/office/drawing/2014/main" id="{64DDE2E5-0A8F-5B4F-8B4F-7F6BC33DE7C7}"/>
            </a:ext>
          </a:extLst>
        </xdr:cNvPr>
        <xdr:cNvCxnSpPr/>
      </xdr:nvCxnSpPr>
      <xdr:spPr>
        <a:xfrm flipV="1">
          <a:off x="8324850" y="488950"/>
          <a:ext cx="1111250" cy="8064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273050</xdr:colOff>
      <xdr:row>61</xdr:row>
      <xdr:rowOff>69850</xdr:rowOff>
    </xdr:from>
    <xdr:to>
      <xdr:col>13</xdr:col>
      <xdr:colOff>508000</xdr:colOff>
      <xdr:row>64</xdr:row>
      <xdr:rowOff>50800</xdr:rowOff>
    </xdr:to>
    <xdr:cxnSp macro="">
      <xdr:nvCxnSpPr>
        <xdr:cNvPr id="55" name="Straight Arrow Connector 54">
          <a:extLst>
            <a:ext uri="{FF2B5EF4-FFF2-40B4-BE49-F238E27FC236}">
              <a16:creationId xmlns:a16="http://schemas.microsoft.com/office/drawing/2014/main" id="{FBBBC9E0-364D-D147-8F9D-03C392A529D1}"/>
            </a:ext>
          </a:extLst>
        </xdr:cNvPr>
        <xdr:cNvCxnSpPr/>
      </xdr:nvCxnSpPr>
      <xdr:spPr>
        <a:xfrm flipV="1">
          <a:off x="9798050" y="1085850"/>
          <a:ext cx="1085850" cy="5143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77</xdr:row>
      <xdr:rowOff>69850</xdr:rowOff>
    </xdr:from>
    <xdr:to>
      <xdr:col>7</xdr:col>
      <xdr:colOff>304800</xdr:colOff>
      <xdr:row>77</xdr:row>
      <xdr:rowOff>69850</xdr:rowOff>
    </xdr:to>
    <xdr:cxnSp macro="">
      <xdr:nvCxnSpPr>
        <xdr:cNvPr id="56" name="Straight Arrow Connector 55">
          <a:extLst>
            <a:ext uri="{FF2B5EF4-FFF2-40B4-BE49-F238E27FC236}">
              <a16:creationId xmlns:a16="http://schemas.microsoft.com/office/drawing/2014/main" id="{1A542262-3C4F-2344-BDF2-2888D3F7B807}"/>
            </a:ext>
          </a:extLst>
        </xdr:cNvPr>
        <xdr:cNvCxnSpPr/>
      </xdr:nvCxnSpPr>
      <xdr:spPr>
        <a:xfrm>
          <a:off x="7924800" y="3854450"/>
          <a:ext cx="3048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476250</xdr:colOff>
      <xdr:row>77</xdr:row>
      <xdr:rowOff>69850</xdr:rowOff>
    </xdr:from>
    <xdr:to>
      <xdr:col>12</xdr:col>
      <xdr:colOff>298450</xdr:colOff>
      <xdr:row>77</xdr:row>
      <xdr:rowOff>69850</xdr:rowOff>
    </xdr:to>
    <xdr:cxnSp macro="">
      <xdr:nvCxnSpPr>
        <xdr:cNvPr id="57" name="Straight Arrow Connector 56">
          <a:extLst>
            <a:ext uri="{FF2B5EF4-FFF2-40B4-BE49-F238E27FC236}">
              <a16:creationId xmlns:a16="http://schemas.microsoft.com/office/drawing/2014/main" id="{4B9EFDDC-C363-3942-8A15-1C71B8A729CB}"/>
            </a:ext>
          </a:extLst>
        </xdr:cNvPr>
        <xdr:cNvCxnSpPr/>
      </xdr:nvCxnSpPr>
      <xdr:spPr>
        <a:xfrm>
          <a:off x="10001250" y="3854450"/>
          <a:ext cx="3429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50800</xdr:colOff>
      <xdr:row>113</xdr:row>
      <xdr:rowOff>50800</xdr:rowOff>
    </xdr:from>
    <xdr:to>
      <xdr:col>7</xdr:col>
      <xdr:colOff>57150</xdr:colOff>
      <xdr:row>125</xdr:row>
      <xdr:rowOff>6350</xdr:rowOff>
    </xdr:to>
    <xdr:cxnSp macro="">
      <xdr:nvCxnSpPr>
        <xdr:cNvPr id="58" name="Straight Arrow Connector 57">
          <a:extLst>
            <a:ext uri="{FF2B5EF4-FFF2-40B4-BE49-F238E27FC236}">
              <a16:creationId xmlns:a16="http://schemas.microsoft.com/office/drawing/2014/main" id="{1424CD79-9E7D-C94B-9B67-2D214B8EB205}"/>
            </a:ext>
          </a:extLst>
        </xdr:cNvPr>
        <xdr:cNvCxnSpPr/>
      </xdr:nvCxnSpPr>
      <xdr:spPr>
        <a:xfrm>
          <a:off x="7975600" y="1409700"/>
          <a:ext cx="6350" cy="20383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123</xdr:row>
      <xdr:rowOff>38100</xdr:rowOff>
    </xdr:from>
    <xdr:to>
      <xdr:col>12</xdr:col>
      <xdr:colOff>0</xdr:colOff>
      <xdr:row>123</xdr:row>
      <xdr:rowOff>38100</xdr:rowOff>
    </xdr:to>
    <xdr:cxnSp macro="">
      <xdr:nvCxnSpPr>
        <xdr:cNvPr id="59" name="Straight Arrow Connector 58">
          <a:extLst>
            <a:ext uri="{FF2B5EF4-FFF2-40B4-BE49-F238E27FC236}">
              <a16:creationId xmlns:a16="http://schemas.microsoft.com/office/drawing/2014/main" id="{D7EC9FBD-35B6-6A42-8A02-FB97C6FB438B}"/>
            </a:ext>
          </a:extLst>
        </xdr:cNvPr>
        <xdr:cNvCxnSpPr/>
      </xdr:nvCxnSpPr>
      <xdr:spPr>
        <a:xfrm>
          <a:off x="8267700" y="3136900"/>
          <a:ext cx="17780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469900</xdr:colOff>
      <xdr:row>120</xdr:row>
      <xdr:rowOff>0</xdr:rowOff>
    </xdr:from>
    <xdr:to>
      <xdr:col>10</xdr:col>
      <xdr:colOff>355600</xdr:colOff>
      <xdr:row>120</xdr:row>
      <xdr:rowOff>6350</xdr:rowOff>
    </xdr:to>
    <xdr:cxnSp macro="">
      <xdr:nvCxnSpPr>
        <xdr:cNvPr id="60" name="Straight Arrow Connector 59">
          <a:extLst>
            <a:ext uri="{FF2B5EF4-FFF2-40B4-BE49-F238E27FC236}">
              <a16:creationId xmlns:a16="http://schemas.microsoft.com/office/drawing/2014/main" id="{EE5537CD-31A3-E244-A969-E2F97D7C839B}"/>
            </a:ext>
          </a:extLst>
        </xdr:cNvPr>
        <xdr:cNvCxnSpPr/>
      </xdr:nvCxnSpPr>
      <xdr:spPr>
        <a:xfrm flipV="1">
          <a:off x="8267700" y="2578100"/>
          <a:ext cx="1181100" cy="63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6350</xdr:colOff>
      <xdr:row>116</xdr:row>
      <xdr:rowOff>6350</xdr:rowOff>
    </xdr:from>
    <xdr:to>
      <xdr:col>9</xdr:col>
      <xdr:colOff>368300</xdr:colOff>
      <xdr:row>116</xdr:row>
      <xdr:rowOff>6350</xdr:rowOff>
    </xdr:to>
    <xdr:cxnSp macro="">
      <xdr:nvCxnSpPr>
        <xdr:cNvPr id="61" name="Straight Arrow Connector 60">
          <a:extLst>
            <a:ext uri="{FF2B5EF4-FFF2-40B4-BE49-F238E27FC236}">
              <a16:creationId xmlns:a16="http://schemas.microsoft.com/office/drawing/2014/main" id="{E8742705-9508-4D4D-B2DE-F7CE06CE6FC2}"/>
            </a:ext>
          </a:extLst>
        </xdr:cNvPr>
        <xdr:cNvCxnSpPr/>
      </xdr:nvCxnSpPr>
      <xdr:spPr>
        <a:xfrm>
          <a:off x="8274050" y="1898650"/>
          <a:ext cx="78105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342900</xdr:colOff>
      <xdr:row>119</xdr:row>
      <xdr:rowOff>114300</xdr:rowOff>
    </xdr:from>
    <xdr:to>
      <xdr:col>13</xdr:col>
      <xdr:colOff>577850</xdr:colOff>
      <xdr:row>122</xdr:row>
      <xdr:rowOff>101600</xdr:rowOff>
    </xdr:to>
    <xdr:cxnSp macro="">
      <xdr:nvCxnSpPr>
        <xdr:cNvPr id="62" name="Straight Arrow Connector 61">
          <a:extLst>
            <a:ext uri="{FF2B5EF4-FFF2-40B4-BE49-F238E27FC236}">
              <a16:creationId xmlns:a16="http://schemas.microsoft.com/office/drawing/2014/main" id="{0A6D972A-F786-5E47-80F2-205425CAA3AF}"/>
            </a:ext>
          </a:extLst>
        </xdr:cNvPr>
        <xdr:cNvCxnSpPr/>
      </xdr:nvCxnSpPr>
      <xdr:spPr>
        <a:xfrm flipV="1">
          <a:off x="9867900" y="2527300"/>
          <a:ext cx="1085850" cy="5080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112</xdr:row>
      <xdr:rowOff>6350</xdr:rowOff>
    </xdr:from>
    <xdr:to>
      <xdr:col>9</xdr:col>
      <xdr:colOff>1269</xdr:colOff>
      <xdr:row>114</xdr:row>
      <xdr:rowOff>88900</xdr:rowOff>
    </xdr:to>
    <xdr:sp macro="" textlink="">
      <xdr:nvSpPr>
        <xdr:cNvPr id="63" name="Can 62">
          <a:extLst>
            <a:ext uri="{FF2B5EF4-FFF2-40B4-BE49-F238E27FC236}">
              <a16:creationId xmlns:a16="http://schemas.microsoft.com/office/drawing/2014/main" id="{880E11DD-630D-9845-A084-B4E90F7F3D5E}"/>
            </a:ext>
          </a:extLst>
        </xdr:cNvPr>
        <xdr:cNvSpPr/>
      </xdr:nvSpPr>
      <xdr:spPr>
        <a:xfrm>
          <a:off x="8610600" y="1187450"/>
          <a:ext cx="77469" cy="450850"/>
        </a:xfrm>
        <a:prstGeom prst="can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63500</xdr:colOff>
      <xdr:row>110</xdr:row>
      <xdr:rowOff>63500</xdr:rowOff>
    </xdr:from>
    <xdr:to>
      <xdr:col>10</xdr:col>
      <xdr:colOff>317500</xdr:colOff>
      <xdr:row>112</xdr:row>
      <xdr:rowOff>133350</xdr:rowOff>
    </xdr:to>
    <xdr:cxnSp macro="">
      <xdr:nvCxnSpPr>
        <xdr:cNvPr id="64" name="Straight Arrow Connector 63">
          <a:extLst>
            <a:ext uri="{FF2B5EF4-FFF2-40B4-BE49-F238E27FC236}">
              <a16:creationId xmlns:a16="http://schemas.microsoft.com/office/drawing/2014/main" id="{53B11DAE-F371-634F-B037-D9A47C1B8C74}"/>
            </a:ext>
          </a:extLst>
        </xdr:cNvPr>
        <xdr:cNvCxnSpPr/>
      </xdr:nvCxnSpPr>
      <xdr:spPr>
        <a:xfrm flipV="1">
          <a:off x="8750300" y="914400"/>
          <a:ext cx="660400" cy="4000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63500</xdr:colOff>
      <xdr:row>115</xdr:row>
      <xdr:rowOff>6350</xdr:rowOff>
    </xdr:from>
    <xdr:to>
      <xdr:col>12</xdr:col>
      <xdr:colOff>88900</xdr:colOff>
      <xdr:row>117</xdr:row>
      <xdr:rowOff>57150</xdr:rowOff>
    </xdr:to>
    <xdr:cxnSp macro="">
      <xdr:nvCxnSpPr>
        <xdr:cNvPr id="65" name="Straight Arrow Connector 64">
          <a:extLst>
            <a:ext uri="{FF2B5EF4-FFF2-40B4-BE49-F238E27FC236}">
              <a16:creationId xmlns:a16="http://schemas.microsoft.com/office/drawing/2014/main" id="{1FE93D28-B5D5-5D40-9940-66E10F9C3075}"/>
            </a:ext>
          </a:extLst>
        </xdr:cNvPr>
        <xdr:cNvCxnSpPr/>
      </xdr:nvCxnSpPr>
      <xdr:spPr>
        <a:xfrm flipV="1">
          <a:off x="9588500" y="1733550"/>
          <a:ext cx="546100" cy="39370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82550</xdr:colOff>
      <xdr:row>123</xdr:row>
      <xdr:rowOff>152400</xdr:rowOff>
    </xdr:from>
    <xdr:to>
      <xdr:col>12</xdr:col>
      <xdr:colOff>203200</xdr:colOff>
      <xdr:row>124</xdr:row>
      <xdr:rowOff>120650</xdr:rowOff>
    </xdr:to>
    <xdr:sp macro="" textlink="">
      <xdr:nvSpPr>
        <xdr:cNvPr id="66" name="Flowchart: Connector 9">
          <a:extLst>
            <a:ext uri="{FF2B5EF4-FFF2-40B4-BE49-F238E27FC236}">
              <a16:creationId xmlns:a16="http://schemas.microsoft.com/office/drawing/2014/main" id="{EA212D22-B0D5-9548-8EDB-251505A4E843}"/>
            </a:ext>
          </a:extLst>
        </xdr:cNvPr>
        <xdr:cNvSpPr/>
      </xdr:nvSpPr>
      <xdr:spPr>
        <a:xfrm>
          <a:off x="10128250" y="3251200"/>
          <a:ext cx="120650" cy="133350"/>
        </a:xfrm>
        <a:prstGeom prst="flowChartConnec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260350</xdr:colOff>
      <xdr:row>124</xdr:row>
      <xdr:rowOff>0</xdr:rowOff>
    </xdr:from>
    <xdr:to>
      <xdr:col>13</xdr:col>
      <xdr:colOff>76200</xdr:colOff>
      <xdr:row>124</xdr:row>
      <xdr:rowOff>127000</xdr:rowOff>
    </xdr:to>
    <xdr:sp macro="" textlink="">
      <xdr:nvSpPr>
        <xdr:cNvPr id="67" name="Flowchart: Connector 10">
          <a:extLst>
            <a:ext uri="{FF2B5EF4-FFF2-40B4-BE49-F238E27FC236}">
              <a16:creationId xmlns:a16="http://schemas.microsoft.com/office/drawing/2014/main" id="{5203189D-C1AF-1E44-83E1-09E76ABEF555}"/>
            </a:ext>
          </a:extLst>
        </xdr:cNvPr>
        <xdr:cNvSpPr/>
      </xdr:nvSpPr>
      <xdr:spPr>
        <a:xfrm>
          <a:off x="10306050" y="3263900"/>
          <a:ext cx="146050" cy="127000"/>
        </a:xfrm>
        <a:prstGeom prst="flowChartConnec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19050</xdr:colOff>
      <xdr:row>126</xdr:row>
      <xdr:rowOff>50800</xdr:rowOff>
    </xdr:from>
    <xdr:to>
      <xdr:col>11</xdr:col>
      <xdr:colOff>368300</xdr:colOff>
      <xdr:row>128</xdr:row>
      <xdr:rowOff>114300</xdr:rowOff>
    </xdr:to>
    <xdr:cxnSp macro="">
      <xdr:nvCxnSpPr>
        <xdr:cNvPr id="68" name="Straight Arrow Connector 67">
          <a:extLst>
            <a:ext uri="{FF2B5EF4-FFF2-40B4-BE49-F238E27FC236}">
              <a16:creationId xmlns:a16="http://schemas.microsoft.com/office/drawing/2014/main" id="{404E1953-B0E7-9C44-92E4-1357330D6D23}"/>
            </a:ext>
          </a:extLst>
        </xdr:cNvPr>
        <xdr:cNvCxnSpPr/>
      </xdr:nvCxnSpPr>
      <xdr:spPr>
        <a:xfrm>
          <a:off x="9112250" y="3670300"/>
          <a:ext cx="781050" cy="3937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57150</xdr:colOff>
      <xdr:row>107</xdr:row>
      <xdr:rowOff>133350</xdr:rowOff>
    </xdr:from>
    <xdr:to>
      <xdr:col>10</xdr:col>
      <xdr:colOff>342900</xdr:colOff>
      <xdr:row>112</xdr:row>
      <xdr:rowOff>114300</xdr:rowOff>
    </xdr:to>
    <xdr:cxnSp macro="">
      <xdr:nvCxnSpPr>
        <xdr:cNvPr id="69" name="Straight Arrow Connector 68">
          <a:extLst>
            <a:ext uri="{FF2B5EF4-FFF2-40B4-BE49-F238E27FC236}">
              <a16:creationId xmlns:a16="http://schemas.microsoft.com/office/drawing/2014/main" id="{8A27E977-F901-0849-AE89-EC2A68844BC4}"/>
            </a:ext>
          </a:extLst>
        </xdr:cNvPr>
        <xdr:cNvCxnSpPr/>
      </xdr:nvCxnSpPr>
      <xdr:spPr>
        <a:xfrm flipV="1">
          <a:off x="8324850" y="488950"/>
          <a:ext cx="1111250" cy="8064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273050</xdr:colOff>
      <xdr:row>111</xdr:row>
      <xdr:rowOff>69850</xdr:rowOff>
    </xdr:from>
    <xdr:to>
      <xdr:col>13</xdr:col>
      <xdr:colOff>508000</xdr:colOff>
      <xdr:row>114</xdr:row>
      <xdr:rowOff>50800</xdr:rowOff>
    </xdr:to>
    <xdr:cxnSp macro="">
      <xdr:nvCxnSpPr>
        <xdr:cNvPr id="70" name="Straight Arrow Connector 69">
          <a:extLst>
            <a:ext uri="{FF2B5EF4-FFF2-40B4-BE49-F238E27FC236}">
              <a16:creationId xmlns:a16="http://schemas.microsoft.com/office/drawing/2014/main" id="{C8FA1D44-CF67-E749-9E06-EB01BB69B221}"/>
            </a:ext>
          </a:extLst>
        </xdr:cNvPr>
        <xdr:cNvCxnSpPr/>
      </xdr:nvCxnSpPr>
      <xdr:spPr>
        <a:xfrm flipV="1">
          <a:off x="9798050" y="1085850"/>
          <a:ext cx="1085850" cy="5143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127</xdr:row>
      <xdr:rowOff>69850</xdr:rowOff>
    </xdr:from>
    <xdr:to>
      <xdr:col>7</xdr:col>
      <xdr:colOff>304800</xdr:colOff>
      <xdr:row>127</xdr:row>
      <xdr:rowOff>69850</xdr:rowOff>
    </xdr:to>
    <xdr:cxnSp macro="">
      <xdr:nvCxnSpPr>
        <xdr:cNvPr id="71" name="Straight Arrow Connector 70">
          <a:extLst>
            <a:ext uri="{FF2B5EF4-FFF2-40B4-BE49-F238E27FC236}">
              <a16:creationId xmlns:a16="http://schemas.microsoft.com/office/drawing/2014/main" id="{769BB52D-674B-7643-B2D9-DB18DCE852FE}"/>
            </a:ext>
          </a:extLst>
        </xdr:cNvPr>
        <xdr:cNvCxnSpPr/>
      </xdr:nvCxnSpPr>
      <xdr:spPr>
        <a:xfrm>
          <a:off x="7924800" y="3854450"/>
          <a:ext cx="3048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476250</xdr:colOff>
      <xdr:row>127</xdr:row>
      <xdr:rowOff>69850</xdr:rowOff>
    </xdr:from>
    <xdr:to>
      <xdr:col>12</xdr:col>
      <xdr:colOff>298450</xdr:colOff>
      <xdr:row>127</xdr:row>
      <xdr:rowOff>69850</xdr:rowOff>
    </xdr:to>
    <xdr:cxnSp macro="">
      <xdr:nvCxnSpPr>
        <xdr:cNvPr id="72" name="Straight Arrow Connector 71">
          <a:extLst>
            <a:ext uri="{FF2B5EF4-FFF2-40B4-BE49-F238E27FC236}">
              <a16:creationId xmlns:a16="http://schemas.microsoft.com/office/drawing/2014/main" id="{6B971D11-4A20-4F4B-8357-B9194CDA7A55}"/>
            </a:ext>
          </a:extLst>
        </xdr:cNvPr>
        <xdr:cNvCxnSpPr/>
      </xdr:nvCxnSpPr>
      <xdr:spPr>
        <a:xfrm>
          <a:off x="10001250" y="3854450"/>
          <a:ext cx="3429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50800</xdr:colOff>
      <xdr:row>158</xdr:row>
      <xdr:rowOff>50800</xdr:rowOff>
    </xdr:from>
    <xdr:to>
      <xdr:col>7</xdr:col>
      <xdr:colOff>57150</xdr:colOff>
      <xdr:row>170</xdr:row>
      <xdr:rowOff>6350</xdr:rowOff>
    </xdr:to>
    <xdr:cxnSp macro="">
      <xdr:nvCxnSpPr>
        <xdr:cNvPr id="73" name="Straight Arrow Connector 72">
          <a:extLst>
            <a:ext uri="{FF2B5EF4-FFF2-40B4-BE49-F238E27FC236}">
              <a16:creationId xmlns:a16="http://schemas.microsoft.com/office/drawing/2014/main" id="{E1993A7B-2074-A640-A947-3895614C1413}"/>
            </a:ext>
          </a:extLst>
        </xdr:cNvPr>
        <xdr:cNvCxnSpPr/>
      </xdr:nvCxnSpPr>
      <xdr:spPr>
        <a:xfrm>
          <a:off x="7975600" y="18224500"/>
          <a:ext cx="6350" cy="20383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168</xdr:row>
      <xdr:rowOff>38100</xdr:rowOff>
    </xdr:from>
    <xdr:to>
      <xdr:col>12</xdr:col>
      <xdr:colOff>0</xdr:colOff>
      <xdr:row>168</xdr:row>
      <xdr:rowOff>38100</xdr:rowOff>
    </xdr:to>
    <xdr:cxnSp macro="">
      <xdr:nvCxnSpPr>
        <xdr:cNvPr id="74" name="Straight Arrow Connector 73">
          <a:extLst>
            <a:ext uri="{FF2B5EF4-FFF2-40B4-BE49-F238E27FC236}">
              <a16:creationId xmlns:a16="http://schemas.microsoft.com/office/drawing/2014/main" id="{EFE0DDA5-94B7-E345-A628-79B5EBB6FE1F}"/>
            </a:ext>
          </a:extLst>
        </xdr:cNvPr>
        <xdr:cNvCxnSpPr/>
      </xdr:nvCxnSpPr>
      <xdr:spPr>
        <a:xfrm>
          <a:off x="8267700" y="19951700"/>
          <a:ext cx="17780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469900</xdr:colOff>
      <xdr:row>165</xdr:row>
      <xdr:rowOff>0</xdr:rowOff>
    </xdr:from>
    <xdr:to>
      <xdr:col>10</xdr:col>
      <xdr:colOff>355600</xdr:colOff>
      <xdr:row>165</xdr:row>
      <xdr:rowOff>6350</xdr:rowOff>
    </xdr:to>
    <xdr:cxnSp macro="">
      <xdr:nvCxnSpPr>
        <xdr:cNvPr id="75" name="Straight Arrow Connector 74">
          <a:extLst>
            <a:ext uri="{FF2B5EF4-FFF2-40B4-BE49-F238E27FC236}">
              <a16:creationId xmlns:a16="http://schemas.microsoft.com/office/drawing/2014/main" id="{F9592CE4-88B0-2A4A-9F21-DDD36ADF3C94}"/>
            </a:ext>
          </a:extLst>
        </xdr:cNvPr>
        <xdr:cNvCxnSpPr/>
      </xdr:nvCxnSpPr>
      <xdr:spPr>
        <a:xfrm flipV="1">
          <a:off x="8267700" y="19405600"/>
          <a:ext cx="1181100" cy="63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6350</xdr:colOff>
      <xdr:row>161</xdr:row>
      <xdr:rowOff>6350</xdr:rowOff>
    </xdr:from>
    <xdr:to>
      <xdr:col>9</xdr:col>
      <xdr:colOff>368300</xdr:colOff>
      <xdr:row>161</xdr:row>
      <xdr:rowOff>6350</xdr:rowOff>
    </xdr:to>
    <xdr:cxnSp macro="">
      <xdr:nvCxnSpPr>
        <xdr:cNvPr id="76" name="Straight Arrow Connector 75">
          <a:extLst>
            <a:ext uri="{FF2B5EF4-FFF2-40B4-BE49-F238E27FC236}">
              <a16:creationId xmlns:a16="http://schemas.microsoft.com/office/drawing/2014/main" id="{6E6AFE3F-6908-744D-ACB7-7377CA67A557}"/>
            </a:ext>
          </a:extLst>
        </xdr:cNvPr>
        <xdr:cNvCxnSpPr/>
      </xdr:nvCxnSpPr>
      <xdr:spPr>
        <a:xfrm>
          <a:off x="8274050" y="18700750"/>
          <a:ext cx="78105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342900</xdr:colOff>
      <xdr:row>164</xdr:row>
      <xdr:rowOff>114300</xdr:rowOff>
    </xdr:from>
    <xdr:to>
      <xdr:col>13</xdr:col>
      <xdr:colOff>577850</xdr:colOff>
      <xdr:row>167</xdr:row>
      <xdr:rowOff>101600</xdr:rowOff>
    </xdr:to>
    <xdr:cxnSp macro="">
      <xdr:nvCxnSpPr>
        <xdr:cNvPr id="77" name="Straight Arrow Connector 76">
          <a:extLst>
            <a:ext uri="{FF2B5EF4-FFF2-40B4-BE49-F238E27FC236}">
              <a16:creationId xmlns:a16="http://schemas.microsoft.com/office/drawing/2014/main" id="{FAC176CE-1B41-0244-B707-176C3D7E3B7E}"/>
            </a:ext>
          </a:extLst>
        </xdr:cNvPr>
        <xdr:cNvCxnSpPr/>
      </xdr:nvCxnSpPr>
      <xdr:spPr>
        <a:xfrm flipV="1">
          <a:off x="9867900" y="19342100"/>
          <a:ext cx="1085850" cy="4953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157</xdr:row>
      <xdr:rowOff>6350</xdr:rowOff>
    </xdr:from>
    <xdr:to>
      <xdr:col>9</xdr:col>
      <xdr:colOff>1269</xdr:colOff>
      <xdr:row>159</xdr:row>
      <xdr:rowOff>88900</xdr:rowOff>
    </xdr:to>
    <xdr:sp macro="" textlink="">
      <xdr:nvSpPr>
        <xdr:cNvPr id="78" name="Can 77">
          <a:extLst>
            <a:ext uri="{FF2B5EF4-FFF2-40B4-BE49-F238E27FC236}">
              <a16:creationId xmlns:a16="http://schemas.microsoft.com/office/drawing/2014/main" id="{B2045A66-DAA0-7243-850D-E1E507CA8792}"/>
            </a:ext>
          </a:extLst>
        </xdr:cNvPr>
        <xdr:cNvSpPr/>
      </xdr:nvSpPr>
      <xdr:spPr>
        <a:xfrm>
          <a:off x="8610600" y="18002250"/>
          <a:ext cx="77469" cy="438150"/>
        </a:xfrm>
        <a:prstGeom prst="can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63500</xdr:colOff>
      <xdr:row>160</xdr:row>
      <xdr:rowOff>6350</xdr:rowOff>
    </xdr:from>
    <xdr:to>
      <xdr:col>12</xdr:col>
      <xdr:colOff>88900</xdr:colOff>
      <xdr:row>162</xdr:row>
      <xdr:rowOff>57150</xdr:rowOff>
    </xdr:to>
    <xdr:cxnSp macro="">
      <xdr:nvCxnSpPr>
        <xdr:cNvPr id="79" name="Straight Arrow Connector 78">
          <a:extLst>
            <a:ext uri="{FF2B5EF4-FFF2-40B4-BE49-F238E27FC236}">
              <a16:creationId xmlns:a16="http://schemas.microsoft.com/office/drawing/2014/main" id="{016381B2-F250-C841-B5B2-354AFC033B10}"/>
            </a:ext>
          </a:extLst>
        </xdr:cNvPr>
        <xdr:cNvCxnSpPr/>
      </xdr:nvCxnSpPr>
      <xdr:spPr>
        <a:xfrm flipV="1">
          <a:off x="9588500" y="18535650"/>
          <a:ext cx="546100" cy="39370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82550</xdr:colOff>
      <xdr:row>168</xdr:row>
      <xdr:rowOff>152400</xdr:rowOff>
    </xdr:from>
    <xdr:to>
      <xdr:col>12</xdr:col>
      <xdr:colOff>203200</xdr:colOff>
      <xdr:row>169</xdr:row>
      <xdr:rowOff>120650</xdr:rowOff>
    </xdr:to>
    <xdr:sp macro="" textlink="">
      <xdr:nvSpPr>
        <xdr:cNvPr id="80" name="Flowchart: Connector 9">
          <a:extLst>
            <a:ext uri="{FF2B5EF4-FFF2-40B4-BE49-F238E27FC236}">
              <a16:creationId xmlns:a16="http://schemas.microsoft.com/office/drawing/2014/main" id="{CDE4849C-9654-C74F-91E1-3F7690E20839}"/>
            </a:ext>
          </a:extLst>
        </xdr:cNvPr>
        <xdr:cNvSpPr/>
      </xdr:nvSpPr>
      <xdr:spPr>
        <a:xfrm>
          <a:off x="10128250" y="20066000"/>
          <a:ext cx="120650" cy="146050"/>
        </a:xfrm>
        <a:prstGeom prst="flowChartConnec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260350</xdr:colOff>
      <xdr:row>169</xdr:row>
      <xdr:rowOff>0</xdr:rowOff>
    </xdr:from>
    <xdr:to>
      <xdr:col>13</xdr:col>
      <xdr:colOff>76200</xdr:colOff>
      <xdr:row>169</xdr:row>
      <xdr:rowOff>127000</xdr:rowOff>
    </xdr:to>
    <xdr:sp macro="" textlink="">
      <xdr:nvSpPr>
        <xdr:cNvPr id="81" name="Flowchart: Connector 10">
          <a:extLst>
            <a:ext uri="{FF2B5EF4-FFF2-40B4-BE49-F238E27FC236}">
              <a16:creationId xmlns:a16="http://schemas.microsoft.com/office/drawing/2014/main" id="{E8D21C2E-D523-6848-88D8-BD534DEDDC01}"/>
            </a:ext>
          </a:extLst>
        </xdr:cNvPr>
        <xdr:cNvSpPr/>
      </xdr:nvSpPr>
      <xdr:spPr>
        <a:xfrm>
          <a:off x="10306050" y="20091400"/>
          <a:ext cx="146050" cy="127000"/>
        </a:xfrm>
        <a:prstGeom prst="flowChartConnec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19050</xdr:colOff>
      <xdr:row>171</xdr:row>
      <xdr:rowOff>50800</xdr:rowOff>
    </xdr:from>
    <xdr:to>
      <xdr:col>11</xdr:col>
      <xdr:colOff>368300</xdr:colOff>
      <xdr:row>173</xdr:row>
      <xdr:rowOff>114300</xdr:rowOff>
    </xdr:to>
    <xdr:cxnSp macro="">
      <xdr:nvCxnSpPr>
        <xdr:cNvPr id="82" name="Straight Arrow Connector 81">
          <a:extLst>
            <a:ext uri="{FF2B5EF4-FFF2-40B4-BE49-F238E27FC236}">
              <a16:creationId xmlns:a16="http://schemas.microsoft.com/office/drawing/2014/main" id="{C78FC166-EA1E-5F44-B169-4881510EFA8C}"/>
            </a:ext>
          </a:extLst>
        </xdr:cNvPr>
        <xdr:cNvCxnSpPr/>
      </xdr:nvCxnSpPr>
      <xdr:spPr>
        <a:xfrm>
          <a:off x="9112250" y="20472400"/>
          <a:ext cx="781050" cy="4191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273050</xdr:colOff>
      <xdr:row>156</xdr:row>
      <xdr:rowOff>69850</xdr:rowOff>
    </xdr:from>
    <xdr:to>
      <xdr:col>13</xdr:col>
      <xdr:colOff>508000</xdr:colOff>
      <xdr:row>159</xdr:row>
      <xdr:rowOff>50800</xdr:rowOff>
    </xdr:to>
    <xdr:cxnSp macro="">
      <xdr:nvCxnSpPr>
        <xdr:cNvPr id="83" name="Straight Arrow Connector 82">
          <a:extLst>
            <a:ext uri="{FF2B5EF4-FFF2-40B4-BE49-F238E27FC236}">
              <a16:creationId xmlns:a16="http://schemas.microsoft.com/office/drawing/2014/main" id="{B85CF594-82A6-C841-8148-86180DC291B9}"/>
            </a:ext>
          </a:extLst>
        </xdr:cNvPr>
        <xdr:cNvCxnSpPr/>
      </xdr:nvCxnSpPr>
      <xdr:spPr>
        <a:xfrm flipV="1">
          <a:off x="9798050" y="17887950"/>
          <a:ext cx="1085850" cy="5143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172</xdr:row>
      <xdr:rowOff>69850</xdr:rowOff>
    </xdr:from>
    <xdr:to>
      <xdr:col>7</xdr:col>
      <xdr:colOff>304800</xdr:colOff>
      <xdr:row>172</xdr:row>
      <xdr:rowOff>69850</xdr:rowOff>
    </xdr:to>
    <xdr:cxnSp macro="">
      <xdr:nvCxnSpPr>
        <xdr:cNvPr id="84" name="Straight Arrow Connector 83">
          <a:extLst>
            <a:ext uri="{FF2B5EF4-FFF2-40B4-BE49-F238E27FC236}">
              <a16:creationId xmlns:a16="http://schemas.microsoft.com/office/drawing/2014/main" id="{8E647273-987D-794B-ABA2-FFC5A84D6848}"/>
            </a:ext>
          </a:extLst>
        </xdr:cNvPr>
        <xdr:cNvCxnSpPr/>
      </xdr:nvCxnSpPr>
      <xdr:spPr>
        <a:xfrm>
          <a:off x="7924800" y="20669250"/>
          <a:ext cx="3048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476250</xdr:colOff>
      <xdr:row>172</xdr:row>
      <xdr:rowOff>69850</xdr:rowOff>
    </xdr:from>
    <xdr:to>
      <xdr:col>12</xdr:col>
      <xdr:colOff>298450</xdr:colOff>
      <xdr:row>172</xdr:row>
      <xdr:rowOff>69850</xdr:rowOff>
    </xdr:to>
    <xdr:cxnSp macro="">
      <xdr:nvCxnSpPr>
        <xdr:cNvPr id="85" name="Straight Arrow Connector 84">
          <a:extLst>
            <a:ext uri="{FF2B5EF4-FFF2-40B4-BE49-F238E27FC236}">
              <a16:creationId xmlns:a16="http://schemas.microsoft.com/office/drawing/2014/main" id="{F9ED5EB4-2ED7-0843-8231-17AF1C911D32}"/>
            </a:ext>
          </a:extLst>
        </xdr:cNvPr>
        <xdr:cNvCxnSpPr/>
      </xdr:nvCxnSpPr>
      <xdr:spPr>
        <a:xfrm>
          <a:off x="10001250" y="20669250"/>
          <a:ext cx="3429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50800</xdr:colOff>
      <xdr:row>164</xdr:row>
      <xdr:rowOff>50800</xdr:rowOff>
    </xdr:from>
    <xdr:to>
      <xdr:col>7</xdr:col>
      <xdr:colOff>57150</xdr:colOff>
      <xdr:row>176</xdr:row>
      <xdr:rowOff>6350</xdr:rowOff>
    </xdr:to>
    <xdr:cxnSp macro="">
      <xdr:nvCxnSpPr>
        <xdr:cNvPr id="86" name="Straight Arrow Connector 85">
          <a:extLst>
            <a:ext uri="{FF2B5EF4-FFF2-40B4-BE49-F238E27FC236}">
              <a16:creationId xmlns:a16="http://schemas.microsoft.com/office/drawing/2014/main" id="{9BEFBD7B-94E9-A941-88A9-8CF702893681}"/>
            </a:ext>
          </a:extLst>
        </xdr:cNvPr>
        <xdr:cNvCxnSpPr/>
      </xdr:nvCxnSpPr>
      <xdr:spPr>
        <a:xfrm>
          <a:off x="7975600" y="19278600"/>
          <a:ext cx="6350" cy="20129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174</xdr:row>
      <xdr:rowOff>38100</xdr:rowOff>
    </xdr:from>
    <xdr:to>
      <xdr:col>12</xdr:col>
      <xdr:colOff>0</xdr:colOff>
      <xdr:row>174</xdr:row>
      <xdr:rowOff>38100</xdr:rowOff>
    </xdr:to>
    <xdr:cxnSp macro="">
      <xdr:nvCxnSpPr>
        <xdr:cNvPr id="87" name="Straight Arrow Connector 86">
          <a:extLst>
            <a:ext uri="{FF2B5EF4-FFF2-40B4-BE49-F238E27FC236}">
              <a16:creationId xmlns:a16="http://schemas.microsoft.com/office/drawing/2014/main" id="{C61D1651-942F-3B46-A598-9B3118541C90}"/>
            </a:ext>
          </a:extLst>
        </xdr:cNvPr>
        <xdr:cNvCxnSpPr/>
      </xdr:nvCxnSpPr>
      <xdr:spPr>
        <a:xfrm>
          <a:off x="8267700" y="20980400"/>
          <a:ext cx="17780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469900</xdr:colOff>
      <xdr:row>171</xdr:row>
      <xdr:rowOff>0</xdr:rowOff>
    </xdr:from>
    <xdr:to>
      <xdr:col>10</xdr:col>
      <xdr:colOff>355600</xdr:colOff>
      <xdr:row>171</xdr:row>
      <xdr:rowOff>6350</xdr:rowOff>
    </xdr:to>
    <xdr:cxnSp macro="">
      <xdr:nvCxnSpPr>
        <xdr:cNvPr id="88" name="Straight Arrow Connector 87">
          <a:extLst>
            <a:ext uri="{FF2B5EF4-FFF2-40B4-BE49-F238E27FC236}">
              <a16:creationId xmlns:a16="http://schemas.microsoft.com/office/drawing/2014/main" id="{442B3FB0-8A8F-8A4D-B673-ACD2C713D2EA}"/>
            </a:ext>
          </a:extLst>
        </xdr:cNvPr>
        <xdr:cNvCxnSpPr/>
      </xdr:nvCxnSpPr>
      <xdr:spPr>
        <a:xfrm flipV="1">
          <a:off x="8267700" y="20421600"/>
          <a:ext cx="1181100" cy="63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6350</xdr:colOff>
      <xdr:row>167</xdr:row>
      <xdr:rowOff>6350</xdr:rowOff>
    </xdr:from>
    <xdr:to>
      <xdr:col>9</xdr:col>
      <xdr:colOff>368300</xdr:colOff>
      <xdr:row>167</xdr:row>
      <xdr:rowOff>6350</xdr:rowOff>
    </xdr:to>
    <xdr:cxnSp macro="">
      <xdr:nvCxnSpPr>
        <xdr:cNvPr id="89" name="Straight Arrow Connector 88">
          <a:extLst>
            <a:ext uri="{FF2B5EF4-FFF2-40B4-BE49-F238E27FC236}">
              <a16:creationId xmlns:a16="http://schemas.microsoft.com/office/drawing/2014/main" id="{00892DB8-A262-CC44-A3CA-E126EEB63836}"/>
            </a:ext>
          </a:extLst>
        </xdr:cNvPr>
        <xdr:cNvCxnSpPr/>
      </xdr:nvCxnSpPr>
      <xdr:spPr>
        <a:xfrm>
          <a:off x="8274050" y="19742150"/>
          <a:ext cx="78105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342900</xdr:colOff>
      <xdr:row>170</xdr:row>
      <xdr:rowOff>114300</xdr:rowOff>
    </xdr:from>
    <xdr:to>
      <xdr:col>13</xdr:col>
      <xdr:colOff>577850</xdr:colOff>
      <xdr:row>173</xdr:row>
      <xdr:rowOff>101600</xdr:rowOff>
    </xdr:to>
    <xdr:cxnSp macro="">
      <xdr:nvCxnSpPr>
        <xdr:cNvPr id="90" name="Straight Arrow Connector 89">
          <a:extLst>
            <a:ext uri="{FF2B5EF4-FFF2-40B4-BE49-F238E27FC236}">
              <a16:creationId xmlns:a16="http://schemas.microsoft.com/office/drawing/2014/main" id="{698C85AD-C9AA-C74D-B6CE-FD087F48A4FD}"/>
            </a:ext>
          </a:extLst>
        </xdr:cNvPr>
        <xdr:cNvCxnSpPr/>
      </xdr:nvCxnSpPr>
      <xdr:spPr>
        <a:xfrm flipV="1">
          <a:off x="9867900" y="20370800"/>
          <a:ext cx="1085850" cy="5080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163</xdr:row>
      <xdr:rowOff>6350</xdr:rowOff>
    </xdr:from>
    <xdr:to>
      <xdr:col>9</xdr:col>
      <xdr:colOff>1269</xdr:colOff>
      <xdr:row>165</xdr:row>
      <xdr:rowOff>88900</xdr:rowOff>
    </xdr:to>
    <xdr:sp macro="" textlink="">
      <xdr:nvSpPr>
        <xdr:cNvPr id="91" name="Can 90">
          <a:extLst>
            <a:ext uri="{FF2B5EF4-FFF2-40B4-BE49-F238E27FC236}">
              <a16:creationId xmlns:a16="http://schemas.microsoft.com/office/drawing/2014/main" id="{62C0C13A-193B-DB43-8652-3331CBEE71CF}"/>
            </a:ext>
          </a:extLst>
        </xdr:cNvPr>
        <xdr:cNvSpPr/>
      </xdr:nvSpPr>
      <xdr:spPr>
        <a:xfrm>
          <a:off x="8610600" y="19056350"/>
          <a:ext cx="77469" cy="438150"/>
        </a:xfrm>
        <a:prstGeom prst="can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63500</xdr:colOff>
      <xdr:row>161</xdr:row>
      <xdr:rowOff>63500</xdr:rowOff>
    </xdr:from>
    <xdr:to>
      <xdr:col>10</xdr:col>
      <xdr:colOff>317500</xdr:colOff>
      <xdr:row>163</xdr:row>
      <xdr:rowOff>133350</xdr:rowOff>
    </xdr:to>
    <xdr:cxnSp macro="">
      <xdr:nvCxnSpPr>
        <xdr:cNvPr id="92" name="Straight Arrow Connector 91">
          <a:extLst>
            <a:ext uri="{FF2B5EF4-FFF2-40B4-BE49-F238E27FC236}">
              <a16:creationId xmlns:a16="http://schemas.microsoft.com/office/drawing/2014/main" id="{4A14349D-65B3-EE42-9E4B-11293D410436}"/>
            </a:ext>
          </a:extLst>
        </xdr:cNvPr>
        <xdr:cNvCxnSpPr/>
      </xdr:nvCxnSpPr>
      <xdr:spPr>
        <a:xfrm flipV="1">
          <a:off x="8750300" y="18757900"/>
          <a:ext cx="660400" cy="4254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63500</xdr:colOff>
      <xdr:row>166</xdr:row>
      <xdr:rowOff>6350</xdr:rowOff>
    </xdr:from>
    <xdr:to>
      <xdr:col>12</xdr:col>
      <xdr:colOff>88900</xdr:colOff>
      <xdr:row>168</xdr:row>
      <xdr:rowOff>57150</xdr:rowOff>
    </xdr:to>
    <xdr:cxnSp macro="">
      <xdr:nvCxnSpPr>
        <xdr:cNvPr id="93" name="Straight Arrow Connector 92">
          <a:extLst>
            <a:ext uri="{FF2B5EF4-FFF2-40B4-BE49-F238E27FC236}">
              <a16:creationId xmlns:a16="http://schemas.microsoft.com/office/drawing/2014/main" id="{24879F9E-9C61-5D49-A987-931E1A4520D0}"/>
            </a:ext>
          </a:extLst>
        </xdr:cNvPr>
        <xdr:cNvCxnSpPr/>
      </xdr:nvCxnSpPr>
      <xdr:spPr>
        <a:xfrm flipV="1">
          <a:off x="9588500" y="19577050"/>
          <a:ext cx="546100" cy="39370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82550</xdr:colOff>
      <xdr:row>174</xdr:row>
      <xdr:rowOff>152400</xdr:rowOff>
    </xdr:from>
    <xdr:to>
      <xdr:col>12</xdr:col>
      <xdr:colOff>203200</xdr:colOff>
      <xdr:row>175</xdr:row>
      <xdr:rowOff>120650</xdr:rowOff>
    </xdr:to>
    <xdr:sp macro="" textlink="">
      <xdr:nvSpPr>
        <xdr:cNvPr id="94" name="Flowchart: Connector 9">
          <a:extLst>
            <a:ext uri="{FF2B5EF4-FFF2-40B4-BE49-F238E27FC236}">
              <a16:creationId xmlns:a16="http://schemas.microsoft.com/office/drawing/2014/main" id="{37598A12-A055-AD4F-B748-F518AD5DA29D}"/>
            </a:ext>
          </a:extLst>
        </xdr:cNvPr>
        <xdr:cNvSpPr/>
      </xdr:nvSpPr>
      <xdr:spPr>
        <a:xfrm>
          <a:off x="10128250" y="21094700"/>
          <a:ext cx="120650" cy="133350"/>
        </a:xfrm>
        <a:prstGeom prst="flowChartConnec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260350</xdr:colOff>
      <xdr:row>175</xdr:row>
      <xdr:rowOff>0</xdr:rowOff>
    </xdr:from>
    <xdr:to>
      <xdr:col>13</xdr:col>
      <xdr:colOff>76200</xdr:colOff>
      <xdr:row>175</xdr:row>
      <xdr:rowOff>127000</xdr:rowOff>
    </xdr:to>
    <xdr:sp macro="" textlink="">
      <xdr:nvSpPr>
        <xdr:cNvPr id="95" name="Flowchart: Connector 10">
          <a:extLst>
            <a:ext uri="{FF2B5EF4-FFF2-40B4-BE49-F238E27FC236}">
              <a16:creationId xmlns:a16="http://schemas.microsoft.com/office/drawing/2014/main" id="{07C111A6-732C-6642-A852-96245D190843}"/>
            </a:ext>
          </a:extLst>
        </xdr:cNvPr>
        <xdr:cNvSpPr/>
      </xdr:nvSpPr>
      <xdr:spPr>
        <a:xfrm>
          <a:off x="10306050" y="21107400"/>
          <a:ext cx="146050" cy="127000"/>
        </a:xfrm>
        <a:prstGeom prst="flowChartConnec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19050</xdr:colOff>
      <xdr:row>177</xdr:row>
      <xdr:rowOff>50800</xdr:rowOff>
    </xdr:from>
    <xdr:to>
      <xdr:col>11</xdr:col>
      <xdr:colOff>368300</xdr:colOff>
      <xdr:row>179</xdr:row>
      <xdr:rowOff>114300</xdr:rowOff>
    </xdr:to>
    <xdr:cxnSp macro="">
      <xdr:nvCxnSpPr>
        <xdr:cNvPr id="96" name="Straight Arrow Connector 95">
          <a:extLst>
            <a:ext uri="{FF2B5EF4-FFF2-40B4-BE49-F238E27FC236}">
              <a16:creationId xmlns:a16="http://schemas.microsoft.com/office/drawing/2014/main" id="{73A3F78D-504D-A74B-AEE3-599B4C44954A}"/>
            </a:ext>
          </a:extLst>
        </xdr:cNvPr>
        <xdr:cNvCxnSpPr/>
      </xdr:nvCxnSpPr>
      <xdr:spPr>
        <a:xfrm>
          <a:off x="9112250" y="21513800"/>
          <a:ext cx="781050" cy="3937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57150</xdr:colOff>
      <xdr:row>158</xdr:row>
      <xdr:rowOff>133350</xdr:rowOff>
    </xdr:from>
    <xdr:to>
      <xdr:col>10</xdr:col>
      <xdr:colOff>342900</xdr:colOff>
      <xdr:row>163</xdr:row>
      <xdr:rowOff>114300</xdr:rowOff>
    </xdr:to>
    <xdr:cxnSp macro="">
      <xdr:nvCxnSpPr>
        <xdr:cNvPr id="97" name="Straight Arrow Connector 96">
          <a:extLst>
            <a:ext uri="{FF2B5EF4-FFF2-40B4-BE49-F238E27FC236}">
              <a16:creationId xmlns:a16="http://schemas.microsoft.com/office/drawing/2014/main" id="{3EF9D880-D0E9-F748-B386-6886A3BAA1B2}"/>
            </a:ext>
          </a:extLst>
        </xdr:cNvPr>
        <xdr:cNvCxnSpPr/>
      </xdr:nvCxnSpPr>
      <xdr:spPr>
        <a:xfrm flipV="1">
          <a:off x="8324850" y="18307050"/>
          <a:ext cx="1111250" cy="8572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273050</xdr:colOff>
      <xdr:row>162</xdr:row>
      <xdr:rowOff>69850</xdr:rowOff>
    </xdr:from>
    <xdr:to>
      <xdr:col>13</xdr:col>
      <xdr:colOff>508000</xdr:colOff>
      <xdr:row>165</xdr:row>
      <xdr:rowOff>50800</xdr:rowOff>
    </xdr:to>
    <xdr:cxnSp macro="">
      <xdr:nvCxnSpPr>
        <xdr:cNvPr id="98" name="Straight Arrow Connector 97">
          <a:extLst>
            <a:ext uri="{FF2B5EF4-FFF2-40B4-BE49-F238E27FC236}">
              <a16:creationId xmlns:a16="http://schemas.microsoft.com/office/drawing/2014/main" id="{C6F05C14-4AA7-204A-929B-1ACE1BCFF848}"/>
            </a:ext>
          </a:extLst>
        </xdr:cNvPr>
        <xdr:cNvCxnSpPr/>
      </xdr:nvCxnSpPr>
      <xdr:spPr>
        <a:xfrm flipV="1">
          <a:off x="9798050" y="18942050"/>
          <a:ext cx="1085850" cy="5143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178</xdr:row>
      <xdr:rowOff>69850</xdr:rowOff>
    </xdr:from>
    <xdr:to>
      <xdr:col>7</xdr:col>
      <xdr:colOff>304800</xdr:colOff>
      <xdr:row>178</xdr:row>
      <xdr:rowOff>69850</xdr:rowOff>
    </xdr:to>
    <xdr:cxnSp macro="">
      <xdr:nvCxnSpPr>
        <xdr:cNvPr id="99" name="Straight Arrow Connector 98">
          <a:extLst>
            <a:ext uri="{FF2B5EF4-FFF2-40B4-BE49-F238E27FC236}">
              <a16:creationId xmlns:a16="http://schemas.microsoft.com/office/drawing/2014/main" id="{9EC39038-019A-FB4F-B948-B188E42D59AE}"/>
            </a:ext>
          </a:extLst>
        </xdr:cNvPr>
        <xdr:cNvCxnSpPr/>
      </xdr:nvCxnSpPr>
      <xdr:spPr>
        <a:xfrm>
          <a:off x="7924800" y="21697950"/>
          <a:ext cx="3048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476250</xdr:colOff>
      <xdr:row>178</xdr:row>
      <xdr:rowOff>69850</xdr:rowOff>
    </xdr:from>
    <xdr:to>
      <xdr:col>12</xdr:col>
      <xdr:colOff>298450</xdr:colOff>
      <xdr:row>178</xdr:row>
      <xdr:rowOff>69850</xdr:rowOff>
    </xdr:to>
    <xdr:cxnSp macro="">
      <xdr:nvCxnSpPr>
        <xdr:cNvPr id="100" name="Straight Arrow Connector 99">
          <a:extLst>
            <a:ext uri="{FF2B5EF4-FFF2-40B4-BE49-F238E27FC236}">
              <a16:creationId xmlns:a16="http://schemas.microsoft.com/office/drawing/2014/main" id="{AF1C120E-C267-164D-9537-F4F61E409A06}"/>
            </a:ext>
          </a:extLst>
        </xdr:cNvPr>
        <xdr:cNvCxnSpPr/>
      </xdr:nvCxnSpPr>
      <xdr:spPr>
        <a:xfrm>
          <a:off x="10001250" y="21697950"/>
          <a:ext cx="342900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Estimating/ESTIMATING%20DEPT/Marcus/ONE%20LINER/Brd-sheet%20(version4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ckean-group/files/Mayfield%20Group/Tenders/T1000%20Subcontract%20Civils/2010/Quarter%202/T1409%20Whiston%20Hospital%20Externals,Taylor%20Woodrow/Commercial/6.1%20-%20Pricing%20Schedule/WP150%20Hard%20Landscaping%20BoQ%2019051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C:/Users/chrishargreaves/Documents/Chris%20Work/27.%20-%20FI%20Real%20Estate%20Mngt/1.%20Botany%20Bay/WP150%20Hard%20Landscaping%20BoQ%2019051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hrishargreaves/Documents/Chris%20Work/14.%20-%20Bellway%20-%20Durham/1.%20-%20Estimating/WP150%20Hard%20Landscaping%20BoQ%2019051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hrishargreaves/Documents/Chris%20Work/17.%20-%20Redrow%20-%20Lancs/Lightfoot%20Lane,%20Fulwood/WP150%20Hard%20Landscaping%20BoQ%201905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hrishargreaves%201/Library/Containers/com.microsoft.Excel/Data/Desktop/Landgate%20R%20and%20S%20inc%20278W%20to%20Client%2020.12.17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C:/Users/chrishargreaves/Documents/Chris%20Work/14.%20-%20Bellway%20-%20Durham/1.%20-%20Estimating/8.%20Finchale%20College/Lightfoot%20Lane%20-%20Viability%20-%20June%202016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G:/Estimating/ESTIMATING%20FEASIBILITIES/FOXDENTON%20-%20CHADDERTON%202013/EWB%20-%20FOXDENTON%20GREENFIELD%20OMU%20-%20REV%20M%203pm%20IFRS%20-%20NET%20LV%20WITH%20ABNORMALS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hrishargreaves/Documents/Chris%20Work/17.%20-%20Redrow%20-%20Lancs/Lightfoot%20Lane,%20Fulwood/Lightfoot%20Lane%20-%20Viability%20-%20June%202016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/Kevin%20Smith/Forms/Group%20Guidelines%20on%20Viabilities,%20Budgets%20and%20Valuations%20-%20Appendice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/Kevin%20Smith/Forms/Group%20Guidelines%20on%20Viabilities,%20Budgets%20and%20Valuations%20-%20Appendice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FEASIBILITY%20-%20ALPORT%20RD%20-%20JAN%2006%20No%20Affordable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hrishargreaves%201/Documents/Chris%20Work/17.%20-%20Redrow%20-%20Lancs/17.1%20-%20Leyland%20Lane%20-%20Leyland/Leyland%20Rd,%20Leyland%20-%20Estimate%20-%2009%20Mar%2017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hrishargreaves/Documents/Chris%20Work/17.%20-%20Redrow%20-%20Lancs/Leyland%20Lane%20-%20Leyland/Leyland%20Rd,%20Leyland%20-%20Estimate%20-%2009%20Mar%2017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R:/Surveyor/Viabilities/Sites/Upper%20Warren,%20Hartlepool/Viab%2002%20-%20Upper%20Warren%20Hartlepool%20-%2016.11.18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U/Kevin%20Smith/Forms/List%20of%20Divisions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U/Kevin%20Smith/Forms/List%20of%20Division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SPORTCITY%20-%20PHASE1%20-%20LAND%20PACK%20FEASIBILITY%20-%20JUNE%200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Substructure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UND-BURSLEM-FEB%2004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hrishargreaves%201/Documents/Chris%20Work/9.%20-%20Duchy%20Homes/1.%20Estimating/1.04.%20Tunstall%20Court,%20Park%20Ave,%20Hartlepool/Appraisal%2002%20-%20Park%20Ave,%20Hartlepool%20-%2008%20Oct%202018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GREEN2a_2b_2c%20-%2040%20units-%20TIMBER%20FRAME%20-%20MAY02%20UPDATES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/Master%20Planners/PROJECTS/Central/Barratt%20West%20Midlands/Kingston%20Grange/Schedule/Scheduling%20Tool/AutoCAD%20Data%20Extracts/Phase%201/Open%20Market%20Housing.xls" TargetMode="External"/></Relationships>
</file>

<file path=xl/externalLinks/_rels/externalLink24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chrish/Library/Containers/com.apple.mail/Data/Library/Mail%20Downloads/2D7F1300-4A62-48C8-8238-FF44906A7E25/Cowm%20Schedules%20(version%201).xlsx" TargetMode="External"/><Relationship Id="rId1" Type="http://schemas.openxmlformats.org/officeDocument/2006/relationships/externalLinkPath" Target="/Users/chrish/Library/Containers/com.apple.mail/Data/Library/Mail%20Downloads/2D7F1300-4A62-48C8-8238-FF44906A7E25/Cowm%20Schedules%20(version%201).xlsx" TargetMode="External"/></Relationships>
</file>

<file path=xl/externalLinks/_rels/externalLink25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chrish/Library/CloudStorage/Dropbox/20%20-%20Barratt%20-%20Man/20.3%20-%20Cown%20Top%20Lane,%20Rochdale/Trows%20-%2005%20Apr%2024/Surface%20&amp;%20Foul%20Measures.xlsx" TargetMode="External"/><Relationship Id="rId1" Type="http://schemas.openxmlformats.org/officeDocument/2006/relationships/externalLinkPath" Target="Trows%20-%2005%20Apr%2024/Surface%20&amp;%20Foul%20Measur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roadsheet"/>
      <sheetName val="Data"/>
      <sheetName val="Apts"/>
      <sheetName val="Det houses"/>
      <sheetName val="Houses"/>
      <sheetName val="TITLE SHEET"/>
      <sheetName val="Qualifications"/>
      <sheetName val="Summary"/>
      <sheetName val=" Land"/>
      <sheetName val="Prelims"/>
      <sheetName val=" Roads and Sewers"/>
      <sheetName val="Externals"/>
      <sheetName val="Development Expenses"/>
      <sheetName val="Sales&amp;Marketing"/>
      <sheetName val="Sheet1"/>
      <sheetName val="GO TO MACROS"/>
      <sheetName val="GENERAL MACROS"/>
      <sheetName val="PRINT MACROS"/>
    </sheetNames>
    <sheetDataSet>
      <sheetData sheetId="0">
        <row r="2">
          <cell r="B2" t="str">
            <v xml:space="preserve"> DWELLING TYPE REF</v>
          </cell>
          <cell r="D2" t="str">
            <v>E/S/3/1000</v>
          </cell>
          <cell r="E2" t="str">
            <v>E/S/3/850</v>
          </cell>
          <cell r="F2" t="str">
            <v>M/3/850</v>
          </cell>
          <cell r="G2" t="str">
            <v>E/S/3/967</v>
          </cell>
          <cell r="H2" t="str">
            <v>D/3/967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  <cell r="V2" t="str">
            <v>APT447</v>
          </cell>
          <cell r="W2" t="str">
            <v>APT568</v>
          </cell>
          <cell r="X2">
            <v>0</v>
          </cell>
          <cell r="Y2">
            <v>0</v>
          </cell>
          <cell r="Z2">
            <v>0</v>
          </cell>
          <cell r="AA2">
            <v>0</v>
          </cell>
          <cell r="AB2">
            <v>0</v>
          </cell>
          <cell r="AD2" t="str">
            <v>BROADSHEET</v>
          </cell>
          <cell r="AF2" t="str">
            <v>AVERAGE</v>
          </cell>
          <cell r="AH2" t="str">
            <v>AVERAGE</v>
          </cell>
        </row>
        <row r="3">
          <cell r="B3" t="str">
            <v xml:space="preserve"> HOUSE TYPE</v>
          </cell>
          <cell r="D3">
            <v>1000</v>
          </cell>
          <cell r="E3">
            <v>850</v>
          </cell>
          <cell r="F3">
            <v>850</v>
          </cell>
          <cell r="G3">
            <v>967</v>
          </cell>
          <cell r="H3">
            <v>967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447</v>
          </cell>
          <cell r="W3">
            <v>568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D3" t="str">
            <v>TOTALS</v>
          </cell>
          <cell r="AF3" t="str">
            <v>PER</v>
          </cell>
          <cell r="AH3" t="str">
            <v>PER</v>
          </cell>
        </row>
        <row r="4">
          <cell r="B4" t="str">
            <v xml:space="preserve"> PLAN VARIANT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F4" t="str">
            <v>UNIT</v>
          </cell>
          <cell r="AH4" t="str">
            <v>SQ.FT.</v>
          </cell>
        </row>
        <row r="5">
          <cell r="B5" t="str">
            <v xml:space="preserve"> SPECIFICATION RANGE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</row>
        <row r="6">
          <cell r="B6" t="str">
            <v xml:space="preserve"> PLOTTING</v>
          </cell>
          <cell r="D6" t="str">
            <v>End</v>
          </cell>
          <cell r="E6" t="str">
            <v>End</v>
          </cell>
          <cell r="F6" t="str">
            <v>Mid Terr</v>
          </cell>
          <cell r="G6" t="str">
            <v>End</v>
          </cell>
          <cell r="H6" t="str">
            <v>Det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 t="str">
            <v>Flat</v>
          </cell>
          <cell r="W6" t="str">
            <v>Flat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</row>
        <row r="7">
          <cell r="B7" t="str">
            <v xml:space="preserve"> ELEVATION</v>
          </cell>
          <cell r="D7" t="str">
            <v>Trd</v>
          </cell>
          <cell r="E7" t="str">
            <v>Trd</v>
          </cell>
          <cell r="F7" t="str">
            <v>Trd</v>
          </cell>
          <cell r="G7" t="str">
            <v>Trd</v>
          </cell>
          <cell r="H7" t="str">
            <v>Trd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</row>
        <row r="8">
          <cell r="B8" t="str">
            <v xml:space="preserve"> NO.OF DWELLINGS</v>
          </cell>
          <cell r="D8">
            <v>15</v>
          </cell>
          <cell r="E8">
            <v>15</v>
          </cell>
          <cell r="F8">
            <v>25</v>
          </cell>
          <cell r="G8">
            <v>15</v>
          </cell>
          <cell r="H8">
            <v>7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24</v>
          </cell>
          <cell r="W8">
            <v>24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D8">
            <v>125</v>
          </cell>
        </row>
        <row r="9">
          <cell r="B9" t="str">
            <v xml:space="preserve"> BED SPACES</v>
          </cell>
          <cell r="D9">
            <v>4</v>
          </cell>
          <cell r="E9">
            <v>3</v>
          </cell>
          <cell r="F9">
            <v>3</v>
          </cell>
          <cell r="G9">
            <v>3</v>
          </cell>
          <cell r="H9">
            <v>3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1</v>
          </cell>
          <cell r="W9">
            <v>2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D9">
            <v>318</v>
          </cell>
          <cell r="AF9">
            <v>2.544</v>
          </cell>
        </row>
        <row r="10">
          <cell r="B10" t="str">
            <v xml:space="preserve"> GARAGE AREA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D10">
            <v>0</v>
          </cell>
          <cell r="AF10">
            <v>0</v>
          </cell>
        </row>
        <row r="11">
          <cell r="B11" t="str">
            <v xml:space="preserve"> PLOTTING FACTOR</v>
          </cell>
          <cell r="D11">
            <v>6.2238497652582163</v>
          </cell>
          <cell r="E11">
            <v>6.2989520323696553</v>
          </cell>
          <cell r="F11">
            <v>4.7567689337781065</v>
          </cell>
          <cell r="G11">
            <v>5.5922905856189766</v>
          </cell>
          <cell r="H11">
            <v>6.1722322708178892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D11">
            <v>433.85123498888061</v>
          </cell>
          <cell r="AF11">
            <v>3.4708098799110449</v>
          </cell>
        </row>
        <row r="12">
          <cell r="B12" t="str">
            <v>DESIGN DENSITY</v>
          </cell>
        </row>
        <row r="13">
          <cell r="B13" t="str">
            <v>AVERAGE COVERAGE PLOTTING</v>
          </cell>
          <cell r="D13">
            <v>251.87920000000003</v>
          </cell>
          <cell r="E13">
            <v>254.91858874999994</v>
          </cell>
          <cell r="F13">
            <v>192.50643874999997</v>
          </cell>
          <cell r="G13">
            <v>226.32</v>
          </cell>
          <cell r="H13">
            <v>249.79023999999998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70.736249999999998</v>
          </cell>
          <cell r="W13">
            <v>70.736249999999998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D13">
            <v>20953.299479999994</v>
          </cell>
        </row>
        <row r="14">
          <cell r="B14" t="str">
            <v xml:space="preserve"> FLOOR AREA SQ. M</v>
          </cell>
          <cell r="D14">
            <v>92.903129906446551</v>
          </cell>
          <cell r="E14">
            <v>78.967660420479575</v>
          </cell>
          <cell r="F14">
            <v>78.967660420479575</v>
          </cell>
          <cell r="G14">
            <v>89.837326619533812</v>
          </cell>
          <cell r="H14">
            <v>89.837326619533812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41.527699068181612</v>
          </cell>
          <cell r="W14">
            <v>52.76897778686164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D14">
            <v>8791.7947955666641</v>
          </cell>
          <cell r="AF14">
            <v>70.334358364533315</v>
          </cell>
        </row>
        <row r="15">
          <cell r="B15" t="str">
            <v xml:space="preserve"> FLOOR AREA SQ FT</v>
          </cell>
          <cell r="D15">
            <v>1000</v>
          </cell>
          <cell r="E15">
            <v>850.00000000000011</v>
          </cell>
          <cell r="F15">
            <v>850.00000000000011</v>
          </cell>
          <cell r="G15">
            <v>967</v>
          </cell>
          <cell r="H15">
            <v>967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447.00000000000006</v>
          </cell>
          <cell r="W15">
            <v>568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D15">
            <v>94634</v>
          </cell>
          <cell r="AF15">
            <v>757.072</v>
          </cell>
        </row>
        <row r="17">
          <cell r="B17" t="str">
            <v xml:space="preserve"> FOUNDATIONS  REGIONAL STANDARD</v>
          </cell>
          <cell r="D17">
            <v>3500</v>
          </cell>
          <cell r="E17">
            <v>2975</v>
          </cell>
          <cell r="F17">
            <v>2762.5</v>
          </cell>
          <cell r="G17">
            <v>3384.5</v>
          </cell>
          <cell r="H17">
            <v>3626.25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1564.5</v>
          </cell>
          <cell r="W17">
            <v>1988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D17">
            <v>327598.75</v>
          </cell>
          <cell r="AF17">
            <v>2620.79</v>
          </cell>
          <cell r="AH17">
            <v>3.4617447217701884</v>
          </cell>
        </row>
        <row r="18">
          <cell r="B18" t="str">
            <v xml:space="preserve"> FOUNDATIONS  ABNORMAL</v>
          </cell>
          <cell r="D18">
            <v>1000</v>
          </cell>
          <cell r="E18">
            <v>1000</v>
          </cell>
          <cell r="F18">
            <v>1000</v>
          </cell>
          <cell r="G18">
            <v>1000</v>
          </cell>
          <cell r="H18">
            <v>1000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1000</v>
          </cell>
          <cell r="W18">
            <v>1000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D18">
            <v>125000</v>
          </cell>
          <cell r="AF18">
            <v>1000</v>
          </cell>
          <cell r="AH18">
            <v>1.3208783312551515</v>
          </cell>
        </row>
        <row r="19">
          <cell r="B19" t="str">
            <v xml:space="preserve"> EXTERNALS (Excl. Boundary Treatment)</v>
          </cell>
          <cell r="D19">
            <v>5304.1796315616066</v>
          </cell>
          <cell r="E19">
            <v>5368.1843762969684</v>
          </cell>
          <cell r="F19">
            <v>4053.8826999697144</v>
          </cell>
          <cell r="G19">
            <v>4765.9430957975992</v>
          </cell>
          <cell r="H19">
            <v>5260.189420844933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D19">
            <v>369743</v>
          </cell>
          <cell r="AF19">
            <v>2957.944</v>
          </cell>
          <cell r="AH19">
            <v>3.9070841346661878</v>
          </cell>
        </row>
        <row r="20">
          <cell r="B20" t="str">
            <v xml:space="preserve"> SUPERSTRUCTURE</v>
          </cell>
          <cell r="D20">
            <v>0</v>
          </cell>
          <cell r="E20">
            <v>36186</v>
          </cell>
          <cell r="F20">
            <v>34400</v>
          </cell>
          <cell r="G20">
            <v>42151</v>
          </cell>
          <cell r="H20">
            <v>45298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35619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D20">
            <v>3206997</v>
          </cell>
          <cell r="AF20">
            <v>25655.975999999999</v>
          </cell>
          <cell r="AH20">
            <v>33.888422765602215</v>
          </cell>
        </row>
        <row r="21">
          <cell r="B21" t="str">
            <v xml:space="preserve"> CONSTRUCTION VARIATION</v>
          </cell>
          <cell r="D21">
            <v>0</v>
          </cell>
          <cell r="E21">
            <v>904.65000000000009</v>
          </cell>
          <cell r="F21">
            <v>860</v>
          </cell>
          <cell r="G21">
            <v>1053.7750000000001</v>
          </cell>
          <cell r="H21">
            <v>1132.45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890.47500000000002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D21">
            <v>80174.925000000003</v>
          </cell>
          <cell r="AF21">
            <v>641.39940000000001</v>
          </cell>
          <cell r="AH21">
            <v>0.84721056914005544</v>
          </cell>
        </row>
        <row r="22">
          <cell r="B22" t="str">
            <v>SINGLE GARAGE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D22">
            <v>0</v>
          </cell>
          <cell r="AF22">
            <v>0</v>
          </cell>
          <cell r="AH22">
            <v>0</v>
          </cell>
        </row>
        <row r="23">
          <cell r="B23" t="str">
            <v>DOUBLE GARAGE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D23">
            <v>0</v>
          </cell>
          <cell r="AF23">
            <v>0</v>
          </cell>
          <cell r="AH23">
            <v>0</v>
          </cell>
        </row>
        <row r="24">
          <cell r="B24" t="str">
            <v>TRIPLE GARAGE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D24">
            <v>0</v>
          </cell>
          <cell r="AF24">
            <v>0</v>
          </cell>
          <cell r="AH24">
            <v>0</v>
          </cell>
        </row>
        <row r="26">
          <cell r="B26" t="str">
            <v xml:space="preserve"> TOTAL HOUSE CONSTRUCTION COSTS</v>
          </cell>
          <cell r="D26">
            <v>9804.1796315616066</v>
          </cell>
          <cell r="E26">
            <v>46433.834376296967</v>
          </cell>
          <cell r="F26">
            <v>43076.382699969712</v>
          </cell>
          <cell r="G26">
            <v>52355.218095797602</v>
          </cell>
          <cell r="H26">
            <v>56316.889420844935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2564.5</v>
          </cell>
          <cell r="W26">
            <v>39497.474999999999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D26">
            <v>4109513.6749999998</v>
          </cell>
          <cell r="AF26">
            <v>32876.109400000001</v>
          </cell>
          <cell r="AH26">
            <v>43.425340522433793</v>
          </cell>
        </row>
        <row r="27">
          <cell r="B27" t="str">
            <v xml:space="preserve"> ROADS &amp; SEWERS (ADOPTABLE)  /M</v>
          </cell>
          <cell r="C27">
            <v>43.087061859992403</v>
          </cell>
          <cell r="D27">
            <v>268.16739984297999</v>
          </cell>
          <cell r="E27">
            <v>271.40333587183619</v>
          </cell>
          <cell r="F27">
            <v>204.95519730338739</v>
          </cell>
          <cell r="G27">
            <v>240.95537040161798</v>
          </cell>
          <cell r="H27">
            <v>265.94335366697175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D27">
            <v>18693.375</v>
          </cell>
          <cell r="AF27">
            <v>149.547</v>
          </cell>
          <cell r="AH27">
            <v>0.19753339180421414</v>
          </cell>
        </row>
        <row r="28">
          <cell r="B28" t="str">
            <v xml:space="preserve"> ROADS &amp; SEWERS ABNORMAL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D28">
            <v>0</v>
          </cell>
          <cell r="AF28">
            <v>0</v>
          </cell>
          <cell r="AH28">
            <v>0</v>
          </cell>
        </row>
        <row r="29">
          <cell r="B29" t="str">
            <v xml:space="preserve"> INFRASTRUCTURE           /M</v>
          </cell>
          <cell r="C29">
            <v>586.03037054052936</v>
          </cell>
          <cell r="D29">
            <v>3647.3649841228594</v>
          </cell>
          <cell r="E29">
            <v>3691.3771935466098</v>
          </cell>
          <cell r="F29">
            <v>2787.6110608376625</v>
          </cell>
          <cell r="G29">
            <v>3277.2521240606029</v>
          </cell>
          <cell r="H29">
            <v>3617.1155647296205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D29">
            <v>254249.99999999997</v>
          </cell>
          <cell r="AF29">
            <v>2033.9999999999998</v>
          </cell>
          <cell r="AH29">
            <v>2.6866665257729778</v>
          </cell>
        </row>
        <row r="31">
          <cell r="B31" t="str">
            <v xml:space="preserve"> SUB TOTAL CONSTRUCTION COSTS</v>
          </cell>
          <cell r="D31">
            <v>13719.712015527446</v>
          </cell>
          <cell r="E31">
            <v>50396.614905715411</v>
          </cell>
          <cell r="F31">
            <v>46068.948958110763</v>
          </cell>
          <cell r="G31">
            <v>55873.425590259823</v>
          </cell>
          <cell r="H31">
            <v>60199.948339241528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2564.5</v>
          </cell>
          <cell r="W31">
            <v>39497.474999999999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D31">
            <v>4382457.0500000007</v>
          </cell>
          <cell r="AF31">
            <v>35059.656400000007</v>
          </cell>
          <cell r="AH31">
            <v>46.309540440010998</v>
          </cell>
        </row>
        <row r="32">
          <cell r="B32" t="str">
            <v xml:space="preserve"> PRELIMINARIES       /SQ FT</v>
          </cell>
          <cell r="C32">
            <v>7.0796827359973449</v>
          </cell>
          <cell r="D32">
            <v>7079.6827359973449</v>
          </cell>
          <cell r="E32">
            <v>6017.730325597744</v>
          </cell>
          <cell r="F32">
            <v>6017.730325597744</v>
          </cell>
          <cell r="G32">
            <v>6846.0532057094324</v>
          </cell>
          <cell r="H32">
            <v>6846.0532057094324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3164.6181829908137</v>
          </cell>
          <cell r="W32">
            <v>4021.2597940464921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D32">
            <v>669978.6960383727</v>
          </cell>
          <cell r="AF32">
            <v>5359.8295683069819</v>
          </cell>
          <cell r="AH32">
            <v>7.0796827359973449</v>
          </cell>
        </row>
        <row r="35">
          <cell r="B35" t="str">
            <v xml:space="preserve"> TOTAL DEVELOPMENT COST</v>
          </cell>
          <cell r="D35">
            <v>20799.394751524793</v>
          </cell>
          <cell r="E35">
            <v>56414.345231313157</v>
          </cell>
          <cell r="F35">
            <v>52086.679283708509</v>
          </cell>
          <cell r="G35">
            <v>62719.478795969255</v>
          </cell>
          <cell r="H35">
            <v>67046.001544950966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5729.1181829908137</v>
          </cell>
          <cell r="W35">
            <v>43518.73479404649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D35">
            <v>5052435.7460383726</v>
          </cell>
          <cell r="AF35">
            <v>40419.485968306981</v>
          </cell>
          <cell r="AH35">
            <v>53.389223176008336</v>
          </cell>
        </row>
        <row r="38">
          <cell r="B38" t="str">
            <v xml:space="preserve"> DWELLING TYPE REF</v>
          </cell>
          <cell r="D38" t="str">
            <v>E/S/3/1000</v>
          </cell>
          <cell r="E38" t="str">
            <v>E/S/3/850</v>
          </cell>
          <cell r="F38" t="str">
            <v>M/3/850</v>
          </cell>
          <cell r="G38" t="str">
            <v>E/S/3/967</v>
          </cell>
          <cell r="H38" t="str">
            <v>D/3/967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 t="str">
            <v>APT447</v>
          </cell>
          <cell r="W38" t="str">
            <v>APT568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</row>
        <row r="39">
          <cell r="B39" t="str">
            <v xml:space="preserve"> HOUSE TYPE</v>
          </cell>
          <cell r="D39">
            <v>1000</v>
          </cell>
          <cell r="E39">
            <v>850</v>
          </cell>
          <cell r="F39">
            <v>850</v>
          </cell>
          <cell r="G39">
            <v>967</v>
          </cell>
          <cell r="H39">
            <v>967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447</v>
          </cell>
          <cell r="W39">
            <v>568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</row>
        <row r="40">
          <cell r="B40" t="str">
            <v xml:space="preserve"> PLAN VARIANT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</row>
        <row r="41">
          <cell r="B41" t="str">
            <v xml:space="preserve"> SPECIFICATION RANGE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</row>
        <row r="42">
          <cell r="B42" t="str">
            <v xml:space="preserve"> PLOTTING</v>
          </cell>
          <cell r="D42" t="str">
            <v>End</v>
          </cell>
          <cell r="E42" t="str">
            <v>End</v>
          </cell>
          <cell r="F42" t="str">
            <v>Mid Terr</v>
          </cell>
          <cell r="G42" t="str">
            <v>End</v>
          </cell>
          <cell r="H42" t="str">
            <v>Det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 t="str">
            <v>Flat</v>
          </cell>
          <cell r="W42" t="str">
            <v>Flat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</row>
        <row r="43">
          <cell r="B43" t="str">
            <v xml:space="preserve"> ELEVATION</v>
          </cell>
          <cell r="D43" t="str">
            <v>Trd</v>
          </cell>
          <cell r="E43" t="str">
            <v>Trd</v>
          </cell>
          <cell r="F43" t="str">
            <v>Trd</v>
          </cell>
          <cell r="G43" t="str">
            <v>Trd</v>
          </cell>
          <cell r="H43" t="str">
            <v>Trd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</row>
        <row r="44">
          <cell r="B44" t="str">
            <v xml:space="preserve"> NO.OF DWELLINGS</v>
          </cell>
          <cell r="D44">
            <v>15</v>
          </cell>
          <cell r="E44">
            <v>15</v>
          </cell>
          <cell r="F44">
            <v>25</v>
          </cell>
          <cell r="G44">
            <v>15</v>
          </cell>
          <cell r="H44">
            <v>7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24</v>
          </cell>
          <cell r="W44">
            <v>24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D44">
            <v>125</v>
          </cell>
        </row>
        <row r="45">
          <cell r="B45" t="str">
            <v xml:space="preserve"> %AGE OF MIX</v>
          </cell>
          <cell r="D45">
            <v>0.12</v>
          </cell>
          <cell r="E45">
            <v>0.12</v>
          </cell>
          <cell r="F45">
            <v>0.2</v>
          </cell>
          <cell r="G45">
            <v>0.12</v>
          </cell>
          <cell r="H45">
            <v>5.6000000000000001E-2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0.192</v>
          </cell>
          <cell r="W45">
            <v>0.192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D45">
            <v>1</v>
          </cell>
          <cell r="AE45">
            <v>17568.5</v>
          </cell>
          <cell r="AF45" t="str">
            <v>Floor Area per Dev Acre</v>
          </cell>
        </row>
        <row r="46">
          <cell r="B46" t="str">
            <v>PLOT AREA M2</v>
          </cell>
          <cell r="D46">
            <v>251.87920000000003</v>
          </cell>
          <cell r="E46">
            <v>254.91858874999994</v>
          </cell>
          <cell r="F46">
            <v>192.50643874999997</v>
          </cell>
          <cell r="G46">
            <v>226.32</v>
          </cell>
          <cell r="H46">
            <v>249.79023999999998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AD46">
            <v>17557.959479999998</v>
          </cell>
          <cell r="AE46">
            <v>16188</v>
          </cell>
          <cell r="AF46" t="str">
            <v>Developable Site area</v>
          </cell>
        </row>
        <row r="47">
          <cell r="B47" t="str">
            <v xml:space="preserve"> FLOOR AREA SQ FT</v>
          </cell>
          <cell r="D47">
            <v>1000</v>
          </cell>
          <cell r="E47">
            <v>850.00000000000011</v>
          </cell>
          <cell r="F47">
            <v>850.00000000000011</v>
          </cell>
          <cell r="G47">
            <v>967</v>
          </cell>
          <cell r="H47">
            <v>967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447.00000000000006</v>
          </cell>
          <cell r="W47">
            <v>568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D47">
            <v>70274</v>
          </cell>
        </row>
        <row r="51">
          <cell r="B51" t="str">
            <v>PLOTTING FACTOR</v>
          </cell>
        </row>
        <row r="53">
          <cell r="B53" t="str">
            <v>FRONTAGE PER ACRE</v>
          </cell>
          <cell r="G53">
            <v>100</v>
          </cell>
          <cell r="H53" t="str">
            <v>ML</v>
          </cell>
        </row>
        <row r="55">
          <cell r="B55" t="str">
            <v>M2 PER ACRE</v>
          </cell>
          <cell r="G55">
            <v>4047</v>
          </cell>
        </row>
        <row r="57">
          <cell r="B57" t="str">
            <v>AREA OF LAND UTILIZED</v>
          </cell>
          <cell r="G57">
            <v>0</v>
          </cell>
        </row>
        <row r="59">
          <cell r="E59" t="str">
            <v>OR</v>
          </cell>
          <cell r="G59">
            <v>4047</v>
          </cell>
          <cell r="H59" t="str">
            <v>PER ACRE</v>
          </cell>
        </row>
        <row r="63">
          <cell r="B63" t="str">
            <v>HOUSE TYPE</v>
          </cell>
          <cell r="E63" t="str">
            <v>D/3/850</v>
          </cell>
          <cell r="F63" t="str">
            <v>E/S/3/850</v>
          </cell>
          <cell r="G63" t="str">
            <v>M/3/850</v>
          </cell>
          <cell r="H63" t="str">
            <v>D/3/967</v>
          </cell>
          <cell r="I63" t="str">
            <v>E/S/3/967</v>
          </cell>
          <cell r="J63" t="str">
            <v>M/3/967</v>
          </cell>
          <cell r="K63" t="str">
            <v>D/3/979</v>
          </cell>
          <cell r="L63" t="str">
            <v>E/S/3/979</v>
          </cell>
          <cell r="M63" t="str">
            <v>M/3/979</v>
          </cell>
          <cell r="N63" t="str">
            <v>D/3/1000</v>
          </cell>
          <cell r="O63" t="str">
            <v>E/S/3/1000</v>
          </cell>
          <cell r="P63" t="str">
            <v>M/3/1000</v>
          </cell>
          <cell r="Q63" t="str">
            <v>D/3/1123</v>
          </cell>
          <cell r="R63" t="str">
            <v>D/3/1126</v>
          </cell>
          <cell r="S63" t="str">
            <v>E/S/3/1126</v>
          </cell>
          <cell r="T63" t="str">
            <v>M/3/1126</v>
          </cell>
          <cell r="U63" t="str">
            <v>D/3/1155</v>
          </cell>
          <cell r="V63" t="str">
            <v>E/S/3/1155</v>
          </cell>
          <cell r="W63" t="str">
            <v>M/3/1155</v>
          </cell>
          <cell r="X63" t="str">
            <v>D/3/1163</v>
          </cell>
          <cell r="Y63" t="str">
            <v>E/S/3/1163</v>
          </cell>
          <cell r="Z63" t="str">
            <v>M/3/1163</v>
          </cell>
          <cell r="AA63" t="str">
            <v>D/4/1240</v>
          </cell>
          <cell r="AB63" t="str">
            <v>D/4/1250</v>
          </cell>
          <cell r="AC63" t="str">
            <v>D/4/1275</v>
          </cell>
          <cell r="AD63" t="str">
            <v>E/S/4/1275</v>
          </cell>
          <cell r="AE63" t="str">
            <v>M/3/1275</v>
          </cell>
          <cell r="AF63" t="str">
            <v>D/4/1286</v>
          </cell>
          <cell r="AG63" t="str">
            <v>E/S/4/1286</v>
          </cell>
          <cell r="AH63" t="str">
            <v>M/4/1286</v>
          </cell>
          <cell r="AI63" t="str">
            <v>D/4/1313</v>
          </cell>
        </row>
        <row r="114">
          <cell r="B114" t="str">
            <v xml:space="preserve"> </v>
          </cell>
        </row>
        <row r="115">
          <cell r="B115" t="str">
            <v xml:space="preserve"> </v>
          </cell>
        </row>
        <row r="116">
          <cell r="B116" t="str">
            <v xml:space="preserve"> DENSITY  DWELLINGS</v>
          </cell>
          <cell r="C116">
            <v>31.25</v>
          </cell>
          <cell r="D116">
            <v>25</v>
          </cell>
        </row>
        <row r="117">
          <cell r="B117" t="str">
            <v xml:space="preserve">          BED SPACES</v>
          </cell>
          <cell r="C117">
            <v>79.5</v>
          </cell>
          <cell r="D117">
            <v>63.6</v>
          </cell>
        </row>
        <row r="119">
          <cell r="B119" t="str">
            <v xml:space="preserve"> </v>
          </cell>
        </row>
        <row r="120">
          <cell r="B120" t="str">
            <v xml:space="preserve"> </v>
          </cell>
        </row>
        <row r="121">
          <cell r="B121" t="str">
            <v xml:space="preserve"> PLOTTING FACTOR</v>
          </cell>
          <cell r="C121">
            <v>108.46280874722015</v>
          </cell>
          <cell r="D121">
            <v>86.770246997776127</v>
          </cell>
        </row>
        <row r="122">
          <cell r="B122" t="str">
            <v xml:space="preserve">          FLOOR AREA SQ M</v>
          </cell>
          <cell r="C122">
            <v>2197.948698891666</v>
          </cell>
          <cell r="D122">
            <v>1758.3589591133327</v>
          </cell>
        </row>
        <row r="123">
          <cell r="B123" t="str">
            <v xml:space="preserve">          FLOOR AREA SQ FT</v>
          </cell>
          <cell r="C123">
            <v>23658.5</v>
          </cell>
          <cell r="D123">
            <v>18926.8</v>
          </cell>
        </row>
        <row r="124">
          <cell r="B124" t="str">
            <v xml:space="preserve"> </v>
          </cell>
        </row>
        <row r="125">
          <cell r="B125" t="str">
            <v xml:space="preserve"> </v>
          </cell>
        </row>
        <row r="126">
          <cell r="B126" t="str">
            <v xml:space="preserve"> COSTS    FOUNDATIONS</v>
          </cell>
          <cell r="C126">
            <v>113149.6875</v>
          </cell>
          <cell r="D126">
            <v>90519.75</v>
          </cell>
        </row>
        <row r="127">
          <cell r="B127" t="str">
            <v xml:space="preserve">          EXTERNALS</v>
          </cell>
          <cell r="C127">
            <v>155998.25</v>
          </cell>
          <cell r="D127">
            <v>124798.6</v>
          </cell>
        </row>
        <row r="128">
          <cell r="B128" t="str">
            <v xml:space="preserve">          SERVICES</v>
          </cell>
          <cell r="C128">
            <v>0</v>
          </cell>
          <cell r="D128">
            <v>0</v>
          </cell>
        </row>
        <row r="129">
          <cell r="B129" t="str">
            <v xml:space="preserve">          ROADS AND SEWERS</v>
          </cell>
          <cell r="C129">
            <v>0</v>
          </cell>
          <cell r="D129">
            <v>0</v>
          </cell>
        </row>
        <row r="130">
          <cell r="B130" t="str">
            <v xml:space="preserve">          INFRASTRUCTURE</v>
          </cell>
          <cell r="C130">
            <v>0</v>
          </cell>
          <cell r="D130">
            <v>0</v>
          </cell>
        </row>
        <row r="131">
          <cell r="B131" t="str">
            <v xml:space="preserve">          LAND COSTS</v>
          </cell>
          <cell r="C131">
            <v>0</v>
          </cell>
          <cell r="D131">
            <v>0</v>
          </cell>
        </row>
        <row r="132">
          <cell r="B132" t="str">
            <v xml:space="preserve"> </v>
          </cell>
        </row>
        <row r="133">
          <cell r="B133" t="str">
            <v xml:space="preserve"> </v>
          </cell>
        </row>
        <row r="135">
          <cell r="B135" t="str">
            <v xml:space="preserve"> 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A. Ext Sum"/>
      <sheetName val="A1 Ext Block M S"/>
      <sheetName val="A2 Ext Z3"/>
      <sheetName val="A3 Ext Z4 S"/>
      <sheetName val="A4 Ext Z6 S"/>
      <sheetName val="A5 Ext FM Zone"/>
      <sheetName val="A6 Ext Z6 E"/>
      <sheetName val="A7 Ext Z4 N"/>
      <sheetName val="A8 Z7 N Site"/>
      <sheetName val="B. Drain Sum"/>
      <sheetName val="B1 Dr Block M S"/>
      <sheetName val="B2 Dr Z3"/>
      <sheetName val="B3 Dr Z4 S"/>
      <sheetName val="B4 Dr Z6 S"/>
      <sheetName val="B5 Dr FM"/>
      <sheetName val="B6 Dr Z6 E"/>
      <sheetName val="B7 Dr Z4 N"/>
      <sheetName val="B8 Z7 N"/>
      <sheetName val="C. BWIC Services"/>
      <sheetName val="D. Gabion Wall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355">
          <cell r="F355">
            <v>0</v>
          </cell>
        </row>
      </sheetData>
      <sheetData sheetId="20">
        <row r="36">
          <cell r="F36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. BWIC Services"/>
      <sheetName val="D. Gabion Walls"/>
      <sheetName val="Summary"/>
      <sheetName val="A. Ext Sum"/>
      <sheetName val="A1 Ext Block M S"/>
      <sheetName val="A2 Ext Z3"/>
      <sheetName val="A3 Ext Z4 S"/>
      <sheetName val="A4 Ext Z6 S"/>
      <sheetName val="A5 Ext FM Zone"/>
      <sheetName val="A6 Ext Z6 E"/>
      <sheetName val="A7 Ext Z4 N"/>
      <sheetName val="A8 Z7 N Site"/>
      <sheetName val="B. Drain Sum"/>
      <sheetName val="B1 Dr Block M S"/>
      <sheetName val="B2 Dr Z3"/>
      <sheetName val="B3 Dr Z4 S"/>
      <sheetName val="B4 Dr Z6 S"/>
      <sheetName val="B5 Dr FM"/>
      <sheetName val="B6 Dr Z6 E"/>
      <sheetName val="B7 Dr Z4 N"/>
      <sheetName val="B8 Z7 N"/>
    </sheetNames>
    <sheetDataSet>
      <sheetData sheetId="0">
        <row r="355">
          <cell r="F355">
            <v>0</v>
          </cell>
        </row>
      </sheetData>
      <sheetData sheetId="1">
        <row r="36">
          <cell r="F36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. BWIC Services"/>
      <sheetName val="D. Gabion Walls"/>
      <sheetName val="Summary"/>
      <sheetName val="A. Ext Sum"/>
      <sheetName val="A1 Ext Block M S"/>
      <sheetName val="A2 Ext Z3"/>
      <sheetName val="A3 Ext Z4 S"/>
      <sheetName val="A4 Ext Z6 S"/>
      <sheetName val="A5 Ext FM Zone"/>
      <sheetName val="A6 Ext Z6 E"/>
      <sheetName val="A7 Ext Z4 N"/>
      <sheetName val="A8 Z7 N Site"/>
      <sheetName val="B. Drain Sum"/>
      <sheetName val="B1 Dr Block M S"/>
      <sheetName val="B2 Dr Z3"/>
      <sheetName val="B3 Dr Z4 S"/>
      <sheetName val="B4 Dr Z6 S"/>
      <sheetName val="B5 Dr FM"/>
      <sheetName val="B6 Dr Z6 E"/>
      <sheetName val="B7 Dr Z4 N"/>
      <sheetName val="B8 Z7 N"/>
    </sheetNames>
    <sheetDataSet>
      <sheetData sheetId="0" refreshError="1">
        <row r="355">
          <cell r="F355">
            <v>0</v>
          </cell>
        </row>
      </sheetData>
      <sheetData sheetId="1" refreshError="1">
        <row r="36">
          <cell r="F36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. BWIC Services"/>
      <sheetName val="D. Gabion Walls"/>
      <sheetName val="Summary"/>
      <sheetName val="A. Ext Sum"/>
      <sheetName val="A1 Ext Block M S"/>
      <sheetName val="A2 Ext Z3"/>
      <sheetName val="A3 Ext Z4 S"/>
      <sheetName val="A4 Ext Z6 S"/>
      <sheetName val="A5 Ext FM Zone"/>
      <sheetName val="A6 Ext Z6 E"/>
      <sheetName val="A7 Ext Z4 N"/>
      <sheetName val="A8 Z7 N Site"/>
      <sheetName val="B. Drain Sum"/>
      <sheetName val="B1 Dr Block M S"/>
      <sheetName val="B2 Dr Z3"/>
      <sheetName val="B3 Dr Z4 S"/>
      <sheetName val="B4 Dr Z6 S"/>
      <sheetName val="B5 Dr FM"/>
      <sheetName val="B6 Dr Z6 E"/>
      <sheetName val="B7 Dr Z4 N"/>
      <sheetName val="B8 Z7 N"/>
    </sheetNames>
    <sheetDataSet>
      <sheetData sheetId="0">
        <row r="355">
          <cell r="F355">
            <v>0</v>
          </cell>
        </row>
      </sheetData>
      <sheetData sheetId="1">
        <row r="36">
          <cell r="F36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Sheet"/>
      <sheetName val="Drains2"/>
      <sheetName val="Stage 1"/>
      <sheetName val="Stage 2 &amp; 3"/>
      <sheetName val="278 Works Summary"/>
      <sheetName val="278 Work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velopment Expenses"/>
      <sheetName val="Externals"/>
      <sheetName val=" Land"/>
      <sheetName val="Summary"/>
      <sheetName val="Prelims"/>
      <sheetName val=" Roads and Sewers"/>
      <sheetName val="Sales&amp;Marketing"/>
      <sheetName val=" Substructures"/>
      <sheetName val=" Supers Trades"/>
      <sheetName val="PIVOT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come Profile"/>
      <sheetName val="GRAPH"/>
      <sheetName val="Sheet1"/>
      <sheetName val="Cons cost CASHFLOW TEMPLATE"/>
      <sheetName val=" INCOME PROFILE"/>
      <sheetName val="BWK BUDGET SPLITTER"/>
      <sheetName val="CPC1"/>
      <sheetName val="JOINER BUDGET SPLITTER TRAD"/>
      <sheetName val="PIVOT DATA"/>
      <sheetName val="COMPANY FUNDS COMPARISON"/>
      <sheetName val="TITLE SHEET"/>
      <sheetName val="Qualifications"/>
      <sheetName val="IFRS Summary"/>
      <sheetName val="Summary"/>
      <sheetName val="COST HEAD COMPARISON"/>
      <sheetName val="ABNORMALS"/>
      <sheetName val=" Land"/>
      <sheetName val="CASHFLOW"/>
      <sheetName val="Land Take (optional)"/>
      <sheetName val="Prelims"/>
      <sheetName val=" Roads and Sewers"/>
      <sheetName val="section 278 works"/>
      <sheetName val="Offsite link road enabling"/>
      <sheetName val=" Substructures"/>
      <sheetName val="Substructures detail"/>
      <sheetName val=" CLIENT ABNORMALS (CP works)"/>
      <sheetName val=" CLIENT ABNORMALS (Vendorworks)"/>
      <sheetName val="2014 subs anbormals"/>
      <sheetName val=" Supers Trades"/>
      <sheetName val="ENHANCED FEATURES "/>
      <sheetName val="HOUSETYPE BRICK AND ROOF QUANTS"/>
      <sheetName val="Externals"/>
      <sheetName val="Development Expenses"/>
      <sheetName val="Sales&amp;Marketing"/>
      <sheetName val="COMMUNAL B OF Q (optional)"/>
      <sheetName val="CSH COST TEMPLATE"/>
      <sheetName val="Ecohomes"/>
      <sheetName val="CARTAWAY"/>
      <sheetName val="Areas Take-Off,Paths,Roads"/>
      <sheetName val="NHBC Input (calc only)"/>
      <sheetName val="NHBC FEES (calc only)"/>
      <sheetName val="Landscaping"/>
      <sheetName val="REVISED EXT-WRK"/>
      <sheetName val="HA SPEC ITEMS"/>
      <sheetName val="CP12A Summary"/>
      <sheetName val="Substructures Summary"/>
      <sheetName val="Supers Summary"/>
      <sheetName val="Module General"/>
      <sheetName val="Module Print Input"/>
      <sheetName val="Module Print Bill"/>
      <sheetName val="Module Print Others"/>
      <sheetName val="Module Go To"/>
      <sheetName val="Sheet2"/>
      <sheetName val="CP12A style"/>
      <sheetName val="Construction cashflow"/>
      <sheetName val="Remediation &amp; R&amp;S"/>
      <sheetName val="DevCosts cashflow"/>
      <sheetName val="Sales cashflow"/>
      <sheetName val="gabion calculator 3M"/>
      <sheetName val="gabion calculator 2.5M "/>
      <sheetName val="gabion calculator 2M "/>
      <sheetName val="gabion calculator 1.0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3" t="str">
            <v>Cost Sub</v>
          </cell>
          <cell r="B3" t="str">
            <v>(All)</v>
          </cell>
        </row>
        <row r="5">
          <cell r="A5" t="str">
            <v>Sum of Totals</v>
          </cell>
        </row>
        <row r="6">
          <cell r="A6" t="str">
            <v>Cost Head</v>
          </cell>
          <cell r="B6" t="str">
            <v>SUPERSTRUCTURES</v>
          </cell>
          <cell r="C6" t="str">
            <v>Total</v>
          </cell>
        </row>
        <row r="7">
          <cell r="A7" t="str">
            <v>3081</v>
          </cell>
          <cell r="B7" t="str">
            <v>Frame other</v>
          </cell>
          <cell r="C7">
            <v>0</v>
          </cell>
        </row>
        <row r="8">
          <cell r="B8" t="str">
            <v>Inistu RC frame and flat slab</v>
          </cell>
          <cell r="C8">
            <v>0</v>
          </cell>
        </row>
        <row r="9">
          <cell r="B9" t="str">
            <v>Inistu RC frame and post tensioned slab</v>
          </cell>
          <cell r="C9">
            <v>0</v>
          </cell>
        </row>
        <row r="10">
          <cell r="B10" t="str">
            <v>PCC Cross Wall -  (walls, floors,roof,stairs)</v>
          </cell>
          <cell r="C10">
            <v>0</v>
          </cell>
        </row>
        <row r="11">
          <cell r="B11" t="str">
            <v>PCC Cross Wall + Sandwich panel (walls, floors,roof,stairs)</v>
          </cell>
          <cell r="C11">
            <v>0</v>
          </cell>
        </row>
        <row r="12">
          <cell r="B12" t="str">
            <v>Steel frame and floors</v>
          </cell>
          <cell r="C12">
            <v>0</v>
          </cell>
        </row>
        <row r="13">
          <cell r="B13" t="str">
            <v>Timber Frame - (walls, floors,roof)</v>
          </cell>
          <cell r="C13">
            <v>0</v>
          </cell>
        </row>
        <row r="14">
          <cell r="B14" t="str">
            <v>Trad Build - PCC floors and stairs</v>
          </cell>
          <cell r="C14">
            <v>0</v>
          </cell>
        </row>
        <row r="15">
          <cell r="A15" t="str">
            <v>3081 Total</v>
          </cell>
          <cell r="C15">
            <v>0</v>
          </cell>
        </row>
        <row r="16">
          <cell r="A16" t="str">
            <v>3091</v>
          </cell>
          <cell r="B16" t="str">
            <v>Balcony  Decks</v>
          </cell>
          <cell r="C16">
            <v>0</v>
          </cell>
        </row>
        <row r="17">
          <cell r="B17" t="str">
            <v>Balcony Handrails and Juliets</v>
          </cell>
          <cell r="C17">
            <v>0</v>
          </cell>
        </row>
        <row r="18">
          <cell r="B18" t="str">
            <v>Balcony steel structures</v>
          </cell>
          <cell r="C18">
            <v>0</v>
          </cell>
        </row>
        <row r="19">
          <cell r="B19" t="str">
            <v>External Cladding  - metal</v>
          </cell>
          <cell r="C19">
            <v>0</v>
          </cell>
        </row>
        <row r="20">
          <cell r="A20" t="str">
            <v>3091 Total</v>
          </cell>
          <cell r="C20">
            <v>0</v>
          </cell>
        </row>
        <row r="21">
          <cell r="A21" t="str">
            <v>3101</v>
          </cell>
          <cell r="B21" t="str">
            <v>External Cladding  - render</v>
          </cell>
          <cell r="C21">
            <v>0</v>
          </cell>
        </row>
        <row r="22">
          <cell r="B22" t="str">
            <v>External Cladding - (Other)</v>
          </cell>
          <cell r="C22">
            <v>0</v>
          </cell>
        </row>
        <row r="23">
          <cell r="B23" t="str">
            <v>External Cladding - fire cavity barriers</v>
          </cell>
          <cell r="C23">
            <v>0</v>
          </cell>
        </row>
        <row r="24">
          <cell r="B24" t="str">
            <v>Other Ancilliary Cladding Items</v>
          </cell>
          <cell r="C24">
            <v>0</v>
          </cell>
        </row>
        <row r="25">
          <cell r="B25" t="str">
            <v>Trad Build Brickwork/Blockwork Labour</v>
          </cell>
          <cell r="C25">
            <v>0</v>
          </cell>
        </row>
        <row r="26">
          <cell r="B26" t="str">
            <v>External Cladding - Brick/Block Labour</v>
          </cell>
          <cell r="C26">
            <v>0</v>
          </cell>
        </row>
        <row r="27">
          <cell r="A27" t="str">
            <v>3101 Total</v>
          </cell>
          <cell r="C27">
            <v>0</v>
          </cell>
        </row>
        <row r="28">
          <cell r="A28" t="str">
            <v>3102</v>
          </cell>
          <cell r="B28" t="str">
            <v xml:space="preserve">Trad Build Brickwork/Blockwork  Materials </v>
          </cell>
          <cell r="C28">
            <v>0</v>
          </cell>
        </row>
        <row r="29">
          <cell r="B29" t="str">
            <v>External Cladding - Brick/Block Materials</v>
          </cell>
          <cell r="C29">
            <v>0</v>
          </cell>
        </row>
        <row r="30">
          <cell r="A30" t="str">
            <v>3102 Total</v>
          </cell>
          <cell r="C30">
            <v>0</v>
          </cell>
        </row>
        <row r="31">
          <cell r="A31" t="str">
            <v>3121</v>
          </cell>
          <cell r="B31" t="str">
            <v>Scaffolding / mast climbers</v>
          </cell>
          <cell r="C31">
            <v>0</v>
          </cell>
        </row>
        <row r="32">
          <cell r="A32" t="str">
            <v>3121 Total</v>
          </cell>
          <cell r="C32">
            <v>0</v>
          </cell>
        </row>
        <row r="33">
          <cell r="A33" t="str">
            <v>3131</v>
          </cell>
          <cell r="B33" t="str">
            <v>Roof Drainage</v>
          </cell>
          <cell r="C33">
            <v>0</v>
          </cell>
        </row>
        <row r="34">
          <cell r="B34" t="str">
            <v>Roof perimeter coping and mansafe system</v>
          </cell>
          <cell r="C34">
            <v>0</v>
          </cell>
        </row>
        <row r="35">
          <cell r="B35" t="str">
            <v>Roof Tiling / Cladding</v>
          </cell>
          <cell r="C35">
            <v>0</v>
          </cell>
        </row>
        <row r="36">
          <cell r="A36" t="str">
            <v>3131 Total</v>
          </cell>
          <cell r="C36">
            <v>0</v>
          </cell>
        </row>
        <row r="37">
          <cell r="A37" t="str">
            <v>3141</v>
          </cell>
          <cell r="B37" t="str">
            <v>Insulation  - Part L upgraded</v>
          </cell>
          <cell r="C37">
            <v>0</v>
          </cell>
        </row>
        <row r="38">
          <cell r="B38" t="str">
            <v>Part L &amp; F update provision (2006 Regs insulation to slab*)</v>
          </cell>
          <cell r="C38">
            <v>0</v>
          </cell>
        </row>
        <row r="39">
          <cell r="A39" t="str">
            <v>3141 Total</v>
          </cell>
          <cell r="C39">
            <v>0</v>
          </cell>
        </row>
        <row r="40">
          <cell r="A40" t="str">
            <v>3151</v>
          </cell>
          <cell r="B40" t="str">
            <v>Communal area fit out - floating floor</v>
          </cell>
          <cell r="C40">
            <v>0</v>
          </cell>
        </row>
        <row r="41">
          <cell r="B41" t="str">
            <v>Communal area fit out - joiner labour</v>
          </cell>
          <cell r="C41">
            <v>0</v>
          </cell>
        </row>
        <row r="42">
          <cell r="B42" t="str">
            <v>External Cladding - cedar</v>
          </cell>
          <cell r="C42">
            <v>0</v>
          </cell>
        </row>
        <row r="43">
          <cell r="B43" t="str">
            <v>Floating floor to TF apartments (PC - £25/m2)</v>
          </cell>
          <cell r="C43">
            <v>0</v>
          </cell>
        </row>
        <row r="44">
          <cell r="B44" t="str">
            <v>Joinery labour</v>
          </cell>
          <cell r="C44">
            <v>0</v>
          </cell>
        </row>
        <row r="45">
          <cell r="B45" t="str">
            <v>Partitions (timber / mf - state type)</v>
          </cell>
          <cell r="C45">
            <v>0</v>
          </cell>
        </row>
        <row r="46">
          <cell r="B46" t="str">
            <v>Trad Build - Roof Structure Labour</v>
          </cell>
          <cell r="C46">
            <v>0</v>
          </cell>
        </row>
        <row r="47">
          <cell r="B47" t="str">
            <v>Trad Build - Joists and Floors Labour</v>
          </cell>
          <cell r="C47">
            <v>0</v>
          </cell>
        </row>
        <row r="48">
          <cell r="A48" t="str">
            <v>3151 Total</v>
          </cell>
          <cell r="C48">
            <v>0</v>
          </cell>
        </row>
        <row r="49">
          <cell r="A49" t="str">
            <v>3152</v>
          </cell>
          <cell r="B49" t="str">
            <v>Communal area fit out - joiner material</v>
          </cell>
          <cell r="C49">
            <v>0</v>
          </cell>
        </row>
        <row r="50">
          <cell r="B50" t="str">
            <v>Joinery materials</v>
          </cell>
          <cell r="C50">
            <v>0</v>
          </cell>
        </row>
        <row r="51">
          <cell r="B51" t="str">
            <v>Trad Build - Roof Structure Material</v>
          </cell>
          <cell r="C51">
            <v>0</v>
          </cell>
        </row>
        <row r="52">
          <cell r="B52" t="str">
            <v>Wardrobes (S&amp;F)</v>
          </cell>
          <cell r="C52">
            <v>0</v>
          </cell>
        </row>
        <row r="53">
          <cell r="B53" t="str">
            <v>Trad Build - Joists and Floors Material</v>
          </cell>
          <cell r="C53">
            <v>0</v>
          </cell>
        </row>
        <row r="54">
          <cell r="A54" t="str">
            <v>3152 Total</v>
          </cell>
          <cell r="C54">
            <v>0</v>
          </cell>
        </row>
        <row r="55">
          <cell r="A55" t="str">
            <v>3161</v>
          </cell>
          <cell r="B55" t="str">
            <v>Kitchen Units (furniture)</v>
          </cell>
          <cell r="C55">
            <v>0</v>
          </cell>
        </row>
        <row r="56">
          <cell r="B56" t="str">
            <v>Kitchen White Goods  (inc VAT)</v>
          </cell>
          <cell r="C56">
            <v>0</v>
          </cell>
        </row>
        <row r="57">
          <cell r="A57" t="str">
            <v>3161 Total</v>
          </cell>
          <cell r="C57">
            <v>0</v>
          </cell>
        </row>
        <row r="58">
          <cell r="A58" t="str">
            <v>3181</v>
          </cell>
          <cell r="B58" t="str">
            <v>Electrical Heating (wet)</v>
          </cell>
          <cell r="C58">
            <v>0</v>
          </cell>
        </row>
        <row r="59">
          <cell r="B59" t="str">
            <v>Gas Heating system</v>
          </cell>
          <cell r="C59">
            <v>0</v>
          </cell>
        </row>
        <row r="60">
          <cell r="B60" t="str">
            <v>Heating (other renewable source - state type)</v>
          </cell>
          <cell r="C60">
            <v>0</v>
          </cell>
        </row>
        <row r="61">
          <cell r="B61" t="str">
            <v>Plumbing only  inc sanitaryware</v>
          </cell>
          <cell r="C61">
            <v>0</v>
          </cell>
        </row>
        <row r="62">
          <cell r="B62" t="str">
            <v>Water Guard to Apartments</v>
          </cell>
          <cell r="C62">
            <v>0</v>
          </cell>
        </row>
        <row r="63">
          <cell r="A63" t="str">
            <v>3181 Total</v>
          </cell>
          <cell r="C63">
            <v>0</v>
          </cell>
        </row>
        <row r="64">
          <cell r="A64" t="str">
            <v>3191</v>
          </cell>
          <cell r="B64" t="str">
            <v>Mastic Pointing</v>
          </cell>
          <cell r="C64">
            <v>0</v>
          </cell>
        </row>
        <row r="65">
          <cell r="A65" t="str">
            <v>3191 Total</v>
          </cell>
          <cell r="C65">
            <v>0</v>
          </cell>
        </row>
        <row r="66">
          <cell r="A66" t="str">
            <v>3201</v>
          </cell>
          <cell r="B66" t="str">
            <v>Audio / Visual Entry</v>
          </cell>
          <cell r="C66">
            <v>0</v>
          </cell>
        </row>
        <row r="67">
          <cell r="B67" t="str">
            <v>Electrical  fit out</v>
          </cell>
          <cell r="C67">
            <v>0</v>
          </cell>
        </row>
        <row r="68">
          <cell r="B68" t="str">
            <v>Electrical Heating (dry)</v>
          </cell>
          <cell r="C68">
            <v>0</v>
          </cell>
        </row>
        <row r="69">
          <cell r="B69" t="str">
            <v>IT System</v>
          </cell>
          <cell r="C69">
            <v>0</v>
          </cell>
        </row>
        <row r="70">
          <cell r="B70" t="str">
            <v xml:space="preserve">TV Distribution </v>
          </cell>
          <cell r="C70">
            <v>0</v>
          </cell>
        </row>
        <row r="71">
          <cell r="A71" t="str">
            <v>3201 Total</v>
          </cell>
          <cell r="C71">
            <v>0</v>
          </cell>
        </row>
        <row r="72">
          <cell r="A72" t="str">
            <v>3211</v>
          </cell>
          <cell r="B72" t="str">
            <v>Communal areas M &amp; E (see B of Q for detail)</v>
          </cell>
          <cell r="C72">
            <v>0</v>
          </cell>
        </row>
        <row r="73">
          <cell r="B73" t="str">
            <v xml:space="preserve">Sprinklers </v>
          </cell>
          <cell r="C73">
            <v>0</v>
          </cell>
        </row>
        <row r="74">
          <cell r="B74" t="str">
            <v>Ventilation System</v>
          </cell>
          <cell r="C74">
            <v>0</v>
          </cell>
        </row>
        <row r="75">
          <cell r="A75" t="str">
            <v>3211 Total</v>
          </cell>
          <cell r="C75">
            <v>0</v>
          </cell>
        </row>
        <row r="76">
          <cell r="A76" t="str">
            <v>3221</v>
          </cell>
          <cell r="B76" t="str">
            <v>Communal area fit out - plasterer &amp; suspended ceilings</v>
          </cell>
          <cell r="C76">
            <v>0</v>
          </cell>
        </row>
        <row r="77">
          <cell r="B77" t="str">
            <v>Communal area fit out - Screeded Floor Finish</v>
          </cell>
          <cell r="C77">
            <v>0</v>
          </cell>
        </row>
        <row r="78">
          <cell r="B78" t="str">
            <v>Dry lining / Plastering</v>
          </cell>
          <cell r="C78">
            <v>0</v>
          </cell>
        </row>
        <row r="79">
          <cell r="B79" t="str">
            <v>Screeding + resilient layer (Gyvlon + Regupol - PC £16/m2)</v>
          </cell>
          <cell r="C79">
            <v>0</v>
          </cell>
        </row>
        <row r="80">
          <cell r="B80" t="str">
            <v>Suspended Ceilings</v>
          </cell>
          <cell r="C80">
            <v>0</v>
          </cell>
        </row>
        <row r="81">
          <cell r="A81" t="str">
            <v>3221 Total</v>
          </cell>
          <cell r="C81">
            <v>0</v>
          </cell>
        </row>
        <row r="82">
          <cell r="A82" t="str">
            <v>3241</v>
          </cell>
          <cell r="B82" t="str">
            <v>Floor Tiling / finishes</v>
          </cell>
          <cell r="C82">
            <v>0</v>
          </cell>
        </row>
        <row r="83">
          <cell r="B83" t="str">
            <v>Wall Tiling</v>
          </cell>
          <cell r="C83">
            <v>0</v>
          </cell>
        </row>
        <row r="84">
          <cell r="A84" t="str">
            <v>3241 Total</v>
          </cell>
          <cell r="C84">
            <v>0</v>
          </cell>
        </row>
        <row r="85">
          <cell r="A85" t="str">
            <v>3251</v>
          </cell>
          <cell r="B85" t="str">
            <v xml:space="preserve">Communal area fit out - decorating </v>
          </cell>
          <cell r="C85">
            <v>0</v>
          </cell>
        </row>
        <row r="86">
          <cell r="B86" t="str">
            <v>Decorations</v>
          </cell>
          <cell r="C86">
            <v>0</v>
          </cell>
        </row>
        <row r="87">
          <cell r="A87" t="str">
            <v>3251 Total</v>
          </cell>
          <cell r="C87">
            <v>0</v>
          </cell>
        </row>
        <row r="88">
          <cell r="A88" t="str">
            <v>3271</v>
          </cell>
          <cell r="B88" t="str">
            <v>Brick / cladding cleaning</v>
          </cell>
          <cell r="C88">
            <v>0</v>
          </cell>
        </row>
        <row r="89">
          <cell r="B89" t="str">
            <v>Cleaning</v>
          </cell>
          <cell r="C89">
            <v>0</v>
          </cell>
        </row>
        <row r="90">
          <cell r="B90" t="str">
            <v>Communal area fit out - cleaning</v>
          </cell>
          <cell r="C90">
            <v>0</v>
          </cell>
        </row>
        <row r="91">
          <cell r="A91" t="str">
            <v>3271 Total</v>
          </cell>
          <cell r="C91">
            <v>0</v>
          </cell>
        </row>
        <row r="92">
          <cell r="A92" t="str">
            <v>3301</v>
          </cell>
          <cell r="B92" t="str">
            <v>Alarm</v>
          </cell>
          <cell r="C92">
            <v>0</v>
          </cell>
        </row>
        <row r="93">
          <cell r="A93" t="str">
            <v>3301 Total</v>
          </cell>
          <cell r="C93">
            <v>0</v>
          </cell>
        </row>
        <row r="94">
          <cell r="A94" t="str">
            <v>3311</v>
          </cell>
          <cell r="B94" t="str">
            <v>Fire Places</v>
          </cell>
          <cell r="C94">
            <v>0</v>
          </cell>
        </row>
        <row r="95">
          <cell r="A95" t="str">
            <v>3311 Total</v>
          </cell>
          <cell r="C95">
            <v>0</v>
          </cell>
        </row>
        <row r="96">
          <cell r="A96" t="str">
            <v>3321</v>
          </cell>
          <cell r="B96" t="str">
            <v>Lifts</v>
          </cell>
          <cell r="C96">
            <v>0</v>
          </cell>
        </row>
        <row r="97">
          <cell r="A97" t="str">
            <v>3321 Total</v>
          </cell>
          <cell r="C97">
            <v>0</v>
          </cell>
        </row>
        <row r="98">
          <cell r="A98" t="str">
            <v>3383</v>
          </cell>
          <cell r="B98" t="str">
            <v>Communal area fit out - Other</v>
          </cell>
          <cell r="C98">
            <v>0</v>
          </cell>
        </row>
        <row r="99">
          <cell r="A99" t="str">
            <v>3383 Total</v>
          </cell>
          <cell r="C99">
            <v>0</v>
          </cell>
        </row>
        <row r="100">
          <cell r="A100" t="str">
            <v>3901</v>
          </cell>
          <cell r="B100" t="str">
            <v>Garage Doors</v>
          </cell>
          <cell r="C100">
            <v>0</v>
          </cell>
        </row>
        <row r="101">
          <cell r="A101" t="str">
            <v>3901 Total</v>
          </cell>
          <cell r="C101">
            <v>0</v>
          </cell>
        </row>
        <row r="102">
          <cell r="A102" t="str">
            <v>338306</v>
          </cell>
          <cell r="B102" t="str">
            <v>Affordable housing adjustment</v>
          </cell>
          <cell r="C102">
            <v>0</v>
          </cell>
        </row>
        <row r="103">
          <cell r="B103" t="str">
            <v>CONTINGENCY</v>
          </cell>
          <cell r="C103">
            <v>0</v>
          </cell>
        </row>
        <row r="104">
          <cell r="B104" t="str">
            <v>Double Garages - detached</v>
          </cell>
          <cell r="C104">
            <v>0</v>
          </cell>
        </row>
        <row r="105">
          <cell r="B105" t="str">
            <v>Ecohomes 'Excellent'</v>
          </cell>
          <cell r="C105">
            <v>0</v>
          </cell>
        </row>
        <row r="106">
          <cell r="B106" t="str">
            <v>Ecohomes 'Good'</v>
          </cell>
          <cell r="C106">
            <v>0</v>
          </cell>
        </row>
        <row r="107">
          <cell r="B107" t="str">
            <v>Ecohomes 'Very Good'</v>
          </cell>
          <cell r="C107">
            <v>0</v>
          </cell>
        </row>
        <row r="108">
          <cell r="B108" t="str">
            <v>Expansion Space</v>
          </cell>
          <cell r="C108">
            <v>0</v>
          </cell>
        </row>
        <row r="109">
          <cell r="B109" t="str">
            <v>Other - state</v>
          </cell>
          <cell r="C109">
            <v>0</v>
          </cell>
        </row>
        <row r="110">
          <cell r="B110" t="str">
            <v>Single Garages - detached</v>
          </cell>
          <cell r="C110">
            <v>0</v>
          </cell>
        </row>
        <row r="111">
          <cell r="B111" t="str">
            <v>TOTAL BUILD (prior to trade splits)</v>
          </cell>
          <cell r="C111">
            <v>0</v>
          </cell>
        </row>
        <row r="112">
          <cell r="B112" t="str">
            <v>(blank)</v>
          </cell>
          <cell r="C112">
            <v>9000</v>
          </cell>
        </row>
        <row r="113">
          <cell r="A113" t="str">
            <v>338306 Total</v>
          </cell>
          <cell r="C113">
            <v>9000</v>
          </cell>
        </row>
      </sheetData>
      <sheetData sheetId="9"/>
      <sheetData sheetId="10"/>
      <sheetData sheetId="11"/>
      <sheetData sheetId="12"/>
      <sheetData sheetId="13">
        <row r="13">
          <cell r="C13">
            <v>0</v>
          </cell>
        </row>
        <row r="16">
          <cell r="C16">
            <v>200</v>
          </cell>
        </row>
        <row r="60">
          <cell r="F60">
            <v>0</v>
          </cell>
        </row>
        <row r="64">
          <cell r="F64">
            <v>24242156.92516287</v>
          </cell>
        </row>
        <row r="66">
          <cell r="F66">
            <v>28990000</v>
          </cell>
        </row>
        <row r="73">
          <cell r="F73">
            <v>5170327.0748371296</v>
          </cell>
        </row>
      </sheetData>
      <sheetData sheetId="14"/>
      <sheetData sheetId="15"/>
      <sheetData sheetId="16">
        <row r="1">
          <cell r="W1" t="str">
            <v xml:space="preserve">FOXDENTON LANE - CHADDERTON </v>
          </cell>
        </row>
        <row r="54">
          <cell r="G54">
            <v>0</v>
          </cell>
        </row>
        <row r="55">
          <cell r="G55">
            <v>0</v>
          </cell>
        </row>
        <row r="71">
          <cell r="B71" t="str">
            <v>2B3P 813 MID</v>
          </cell>
          <cell r="D71">
            <v>0</v>
          </cell>
          <cell r="G71">
            <v>813</v>
          </cell>
        </row>
        <row r="72">
          <cell r="B72" t="str">
            <v>2B3P 813 END</v>
          </cell>
          <cell r="D72">
            <v>0</v>
          </cell>
          <cell r="G72">
            <v>813</v>
          </cell>
        </row>
        <row r="73">
          <cell r="B73" t="str">
            <v>3B5P 930 MID</v>
          </cell>
          <cell r="D73">
            <v>0</v>
          </cell>
          <cell r="G73">
            <v>930</v>
          </cell>
        </row>
        <row r="74">
          <cell r="B74" t="str">
            <v>3B5P 930 END</v>
          </cell>
          <cell r="D74">
            <v>0</v>
          </cell>
          <cell r="G74">
            <v>930</v>
          </cell>
        </row>
        <row r="75">
          <cell r="B75" t="str">
            <v>3B5P 930 DET</v>
          </cell>
          <cell r="D75">
            <v>0</v>
          </cell>
          <cell r="G75">
            <v>930</v>
          </cell>
        </row>
        <row r="76">
          <cell r="D76">
            <v>0</v>
          </cell>
          <cell r="G76">
            <v>930</v>
          </cell>
        </row>
        <row r="77">
          <cell r="D77">
            <v>0</v>
          </cell>
          <cell r="G77">
            <v>930</v>
          </cell>
        </row>
        <row r="78">
          <cell r="D78">
            <v>0</v>
          </cell>
          <cell r="G78">
            <v>930</v>
          </cell>
        </row>
        <row r="79">
          <cell r="D79">
            <v>0</v>
          </cell>
          <cell r="G79">
            <v>930</v>
          </cell>
        </row>
        <row r="80">
          <cell r="D80">
            <v>0</v>
          </cell>
          <cell r="G80">
            <v>930</v>
          </cell>
        </row>
        <row r="81">
          <cell r="D81">
            <v>0</v>
          </cell>
          <cell r="G81">
            <v>930</v>
          </cell>
        </row>
        <row r="82">
          <cell r="D82">
            <v>0</v>
          </cell>
          <cell r="G82">
            <v>930</v>
          </cell>
        </row>
        <row r="83">
          <cell r="D83">
            <v>0</v>
          </cell>
          <cell r="G83">
            <v>1026</v>
          </cell>
        </row>
        <row r="84">
          <cell r="D84">
            <v>0</v>
          </cell>
          <cell r="G84">
            <v>1026</v>
          </cell>
        </row>
        <row r="85">
          <cell r="D85">
            <v>0</v>
          </cell>
          <cell r="G85">
            <v>1026</v>
          </cell>
        </row>
        <row r="86">
          <cell r="D86">
            <v>0</v>
          </cell>
          <cell r="G86">
            <v>1026</v>
          </cell>
        </row>
        <row r="87">
          <cell r="D87">
            <v>0</v>
          </cell>
          <cell r="G87">
            <v>1026</v>
          </cell>
        </row>
        <row r="88">
          <cell r="D88">
            <v>0</v>
          </cell>
          <cell r="G88">
            <v>1026</v>
          </cell>
        </row>
        <row r="89">
          <cell r="D89">
            <v>0</v>
          </cell>
          <cell r="G89">
            <v>1026</v>
          </cell>
        </row>
        <row r="90">
          <cell r="D90">
            <v>0</v>
          </cell>
          <cell r="G90">
            <v>1026</v>
          </cell>
        </row>
        <row r="91">
          <cell r="D91">
            <v>0</v>
          </cell>
          <cell r="G91">
            <v>1126</v>
          </cell>
        </row>
        <row r="92">
          <cell r="D92">
            <v>0</v>
          </cell>
          <cell r="G92">
            <v>1126</v>
          </cell>
        </row>
        <row r="93">
          <cell r="D93">
            <v>0</v>
          </cell>
          <cell r="G93">
            <v>1126</v>
          </cell>
        </row>
        <row r="94">
          <cell r="D94">
            <v>0</v>
          </cell>
          <cell r="G94">
            <v>1126</v>
          </cell>
        </row>
        <row r="95">
          <cell r="D95">
            <v>0</v>
          </cell>
          <cell r="G95">
            <v>1126</v>
          </cell>
        </row>
        <row r="96">
          <cell r="D96">
            <v>0</v>
          </cell>
          <cell r="G96">
            <v>1126</v>
          </cell>
        </row>
        <row r="97">
          <cell r="D97">
            <v>0</v>
          </cell>
          <cell r="G97">
            <v>1126</v>
          </cell>
        </row>
        <row r="98">
          <cell r="D98">
            <v>0</v>
          </cell>
          <cell r="G98">
            <v>1126</v>
          </cell>
        </row>
        <row r="100">
          <cell r="D100">
            <v>0</v>
          </cell>
          <cell r="G100">
            <v>630</v>
          </cell>
        </row>
      </sheetData>
      <sheetData sheetId="17"/>
      <sheetData sheetId="18"/>
      <sheetData sheetId="19">
        <row r="4">
          <cell r="H4">
            <v>200</v>
          </cell>
        </row>
        <row r="10">
          <cell r="H10">
            <v>1104767.6047255285</v>
          </cell>
        </row>
      </sheetData>
      <sheetData sheetId="20">
        <row r="6">
          <cell r="H6">
            <v>1150664.3333333335</v>
          </cell>
        </row>
      </sheetData>
      <sheetData sheetId="21"/>
      <sheetData sheetId="22"/>
      <sheetData sheetId="23">
        <row r="45">
          <cell r="BI45">
            <v>0</v>
          </cell>
          <cell r="BK45">
            <v>0</v>
          </cell>
          <cell r="BM45">
            <v>0</v>
          </cell>
          <cell r="BO45">
            <v>0</v>
          </cell>
          <cell r="BQ45">
            <v>0</v>
          </cell>
          <cell r="BS45">
            <v>0</v>
          </cell>
          <cell r="BU45">
            <v>0</v>
          </cell>
          <cell r="BW45">
            <v>0</v>
          </cell>
          <cell r="BY45">
            <v>0</v>
          </cell>
          <cell r="CA45">
            <v>0</v>
          </cell>
          <cell r="CC45">
            <v>0</v>
          </cell>
          <cell r="CE45">
            <v>0</v>
          </cell>
          <cell r="CG45">
            <v>0</v>
          </cell>
          <cell r="CI45">
            <v>0</v>
          </cell>
          <cell r="CK45">
            <v>0</v>
          </cell>
          <cell r="CM45">
            <v>0</v>
          </cell>
          <cell r="CO45">
            <v>0</v>
          </cell>
          <cell r="CQ45">
            <v>0</v>
          </cell>
          <cell r="CS45">
            <v>0</v>
          </cell>
          <cell r="CU45">
            <v>0</v>
          </cell>
          <cell r="CW45">
            <v>0</v>
          </cell>
          <cell r="CY45">
            <v>0</v>
          </cell>
          <cell r="DA45">
            <v>0</v>
          </cell>
          <cell r="DC45">
            <v>0</v>
          </cell>
          <cell r="DE45">
            <v>0</v>
          </cell>
          <cell r="DG45">
            <v>0</v>
          </cell>
          <cell r="DI45">
            <v>0</v>
          </cell>
          <cell r="DK45">
            <v>0</v>
          </cell>
          <cell r="DM45">
            <v>0</v>
          </cell>
          <cell r="DO45">
            <v>4276</v>
          </cell>
          <cell r="DQ45">
            <v>4642</v>
          </cell>
          <cell r="DS45">
            <v>5180</v>
          </cell>
          <cell r="DU45">
            <v>5496</v>
          </cell>
          <cell r="DW45">
            <v>5943</v>
          </cell>
          <cell r="DY45">
            <v>5496</v>
          </cell>
          <cell r="EA45">
            <v>5180</v>
          </cell>
          <cell r="EC45">
            <v>5180</v>
          </cell>
          <cell r="EE45">
            <v>5943</v>
          </cell>
          <cell r="EG45">
            <v>6093</v>
          </cell>
          <cell r="EI45">
            <v>6093</v>
          </cell>
          <cell r="EK45">
            <v>5943</v>
          </cell>
          <cell r="EM45">
            <v>6259</v>
          </cell>
          <cell r="EO45">
            <v>6409</v>
          </cell>
          <cell r="EQ45">
            <v>6409</v>
          </cell>
          <cell r="ES45">
            <v>6259</v>
          </cell>
          <cell r="EU45">
            <v>6648</v>
          </cell>
          <cell r="EW45">
            <v>6798</v>
          </cell>
          <cell r="EY45">
            <v>6798</v>
          </cell>
          <cell r="FA45">
            <v>6648</v>
          </cell>
          <cell r="FC45">
            <v>6643</v>
          </cell>
          <cell r="FE45">
            <v>6793</v>
          </cell>
          <cell r="FG45">
            <v>6793</v>
          </cell>
          <cell r="FI45">
            <v>6643</v>
          </cell>
          <cell r="FK45">
            <v>7071</v>
          </cell>
          <cell r="FM45">
            <v>7221</v>
          </cell>
          <cell r="FO45">
            <v>7221</v>
          </cell>
          <cell r="FQ45">
            <v>7071</v>
          </cell>
          <cell r="FS45">
            <v>1890</v>
          </cell>
          <cell r="FU45">
            <v>0</v>
          </cell>
          <cell r="FW45">
            <v>0</v>
          </cell>
          <cell r="FY45">
            <v>0</v>
          </cell>
          <cell r="GA45">
            <v>0</v>
          </cell>
          <cell r="GC45">
            <v>0</v>
          </cell>
          <cell r="GE45">
            <v>0</v>
          </cell>
          <cell r="GG45">
            <v>0</v>
          </cell>
          <cell r="GI45">
            <v>0</v>
          </cell>
          <cell r="GK45">
            <v>0</v>
          </cell>
          <cell r="GM45">
            <v>0</v>
          </cell>
          <cell r="GO45">
            <v>0</v>
          </cell>
          <cell r="GQ45">
            <v>0</v>
          </cell>
          <cell r="GS45">
            <v>0</v>
          </cell>
          <cell r="GU45">
            <v>0</v>
          </cell>
          <cell r="GW45">
            <v>0</v>
          </cell>
          <cell r="GY45">
            <v>0</v>
          </cell>
          <cell r="HA45">
            <v>0</v>
          </cell>
          <cell r="HC45">
            <v>0</v>
          </cell>
          <cell r="HE45">
            <v>0</v>
          </cell>
        </row>
      </sheetData>
      <sheetData sheetId="24"/>
      <sheetData sheetId="25"/>
      <sheetData sheetId="26"/>
      <sheetData sheetId="27"/>
      <sheetData sheetId="28">
        <row r="106">
          <cell r="BK106" t="str">
            <v/>
          </cell>
          <cell r="BM106" t="str">
            <v/>
          </cell>
          <cell r="BO106" t="str">
            <v/>
          </cell>
          <cell r="BQ106" t="str">
            <v/>
          </cell>
          <cell r="BS106" t="str">
            <v/>
          </cell>
          <cell r="BU106" t="str">
            <v/>
          </cell>
          <cell r="BW106" t="str">
            <v/>
          </cell>
          <cell r="BY106" t="str">
            <v/>
          </cell>
          <cell r="CA106" t="str">
            <v/>
          </cell>
          <cell r="CC106" t="str">
            <v/>
          </cell>
          <cell r="CE106" t="str">
            <v/>
          </cell>
          <cell r="CG106" t="str">
            <v/>
          </cell>
          <cell r="CI106" t="str">
            <v/>
          </cell>
          <cell r="CK106" t="str">
            <v/>
          </cell>
          <cell r="CM106" t="str">
            <v/>
          </cell>
          <cell r="CO106" t="str">
            <v/>
          </cell>
          <cell r="CQ106" t="str">
            <v/>
          </cell>
          <cell r="CS106" t="str">
            <v/>
          </cell>
          <cell r="CU106" t="str">
            <v/>
          </cell>
          <cell r="CW106" t="str">
            <v/>
          </cell>
          <cell r="CY106" t="str">
            <v/>
          </cell>
          <cell r="DA106" t="str">
            <v/>
          </cell>
          <cell r="DC106" t="str">
            <v/>
          </cell>
          <cell r="DE106" t="str">
            <v/>
          </cell>
          <cell r="DG106" t="str">
            <v/>
          </cell>
          <cell r="DI106" t="str">
            <v/>
          </cell>
          <cell r="DK106" t="str">
            <v/>
          </cell>
          <cell r="DM106" t="str">
            <v/>
          </cell>
          <cell r="DO106" t="str">
            <v/>
          </cell>
          <cell r="DQ106">
            <v>30296</v>
          </cell>
          <cell r="DS106">
            <v>32210</v>
          </cell>
          <cell r="DU106">
            <v>33334</v>
          </cell>
          <cell r="DW106">
            <v>35585</v>
          </cell>
          <cell r="DY106">
            <v>37851</v>
          </cell>
          <cell r="EA106">
            <v>39999.964999999997</v>
          </cell>
          <cell r="EC106">
            <v>30379.472249999995</v>
          </cell>
          <cell r="EE106">
            <v>30379.472249999995</v>
          </cell>
          <cell r="EG106">
            <v>41158.69999999999</v>
          </cell>
          <cell r="EI106">
            <v>35390.19999999999</v>
          </cell>
          <cell r="EK106">
            <v>36143.19999999999</v>
          </cell>
          <cell r="EM106">
            <v>35293.19999999999</v>
          </cell>
          <cell r="EO106">
            <v>43055.76</v>
          </cell>
          <cell r="EQ106">
            <v>37965.9</v>
          </cell>
          <cell r="ES106">
            <v>38718.9</v>
          </cell>
          <cell r="EU106">
            <v>37868.9</v>
          </cell>
          <cell r="EW106">
            <v>38113.629999999997</v>
          </cell>
          <cell r="EY106">
            <v>38963.629999999997</v>
          </cell>
          <cell r="FA106">
            <v>39716.629999999997</v>
          </cell>
          <cell r="FC106">
            <v>38866.629999999997</v>
          </cell>
          <cell r="FE106">
            <v>40294.720000000001</v>
          </cell>
          <cell r="FG106">
            <v>41144.720000000001</v>
          </cell>
          <cell r="FI106">
            <v>41897.72</v>
          </cell>
          <cell r="FK106">
            <v>41047.72</v>
          </cell>
          <cell r="FM106">
            <v>41423.160000000003</v>
          </cell>
          <cell r="FO106">
            <v>42273.16</v>
          </cell>
          <cell r="FQ106">
            <v>43026.16</v>
          </cell>
          <cell r="FS106">
            <v>42176.160000000003</v>
          </cell>
          <cell r="FU106">
            <v>34650</v>
          </cell>
          <cell r="FW106" t="str">
            <v/>
          </cell>
          <cell r="FY106" t="str">
            <v/>
          </cell>
          <cell r="GA106" t="str">
            <v/>
          </cell>
          <cell r="GC106" t="str">
            <v/>
          </cell>
          <cell r="GE106" t="str">
            <v/>
          </cell>
          <cell r="GG106" t="str">
            <v/>
          </cell>
          <cell r="GI106" t="str">
            <v/>
          </cell>
          <cell r="GK106" t="str">
            <v/>
          </cell>
          <cell r="GM106" t="str">
            <v/>
          </cell>
          <cell r="GO106" t="str">
            <v/>
          </cell>
          <cell r="GQ106" t="str">
            <v/>
          </cell>
          <cell r="GS106" t="str">
            <v/>
          </cell>
          <cell r="GU106" t="str">
            <v/>
          </cell>
          <cell r="GW106" t="str">
            <v/>
          </cell>
          <cell r="GY106" t="str">
            <v/>
          </cell>
          <cell r="HA106" t="str">
            <v/>
          </cell>
          <cell r="HC106" t="str">
            <v/>
          </cell>
          <cell r="HE106" t="str">
            <v/>
          </cell>
          <cell r="HG106" t="str">
            <v/>
          </cell>
        </row>
      </sheetData>
      <sheetData sheetId="29"/>
      <sheetData sheetId="30"/>
      <sheetData sheetId="31">
        <row r="4">
          <cell r="H4">
            <v>890155.84722222225</v>
          </cell>
        </row>
        <row r="84">
          <cell r="H84">
            <v>370180</v>
          </cell>
        </row>
      </sheetData>
      <sheetData sheetId="32">
        <row r="5">
          <cell r="H5">
            <v>1060161.4249999998</v>
          </cell>
        </row>
      </sheetData>
      <sheetData sheetId="33">
        <row r="12">
          <cell r="H12">
            <v>2605945.0408006161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P12A style PEAR GROUP"/>
      <sheetName val="CP12A style CPNL"/>
      <sheetName val="Construction cashflow"/>
      <sheetName val="Remediation &amp; R&amp;S"/>
      <sheetName val="DevCosts cashflow"/>
      <sheetName val="Sales cashflow"/>
      <sheetName val="Cons cost CASHFLOW TEMPLATE"/>
      <sheetName val=" INCOME PROFILE"/>
      <sheetName val="BWK BUDGET SPLITTER"/>
      <sheetName val="CPC1"/>
      <sheetName val="JOINER BUDGET SPLITTER TRAD"/>
      <sheetName val="PIVOT DATA"/>
      <sheetName val="COMPANY FUNDS COMPARISON"/>
      <sheetName val="Income Profile"/>
      <sheetName val="TITLE SHEET"/>
      <sheetName val="Scheme Performance"/>
      <sheetName val="Qualifications"/>
      <sheetName val="EWB Progress Report"/>
      <sheetName val="Abnormal Costs"/>
      <sheetName val="Summary"/>
      <sheetName val="COST HEAD COMPARISON"/>
      <sheetName val="CASHFLOW"/>
      <sheetName val="Land Take (optional)"/>
      <sheetName val="IP PARTNERSHIP DOC"/>
      <sheetName val="IP CONS COST FEEDER"/>
      <sheetName val="Cons Cost Inflation"/>
      <sheetName val="ABNORMAL INCLUSIONS"/>
      <sheetName val=" Land"/>
      <sheetName val="Prelims"/>
      <sheetName val=" Roads and Sewers"/>
      <sheetName val=" Substructures"/>
      <sheetName val="Substructures detail"/>
      <sheetName val="YHA HOUSE TYPE E.O COSTS ORIGN"/>
      <sheetName val="YHA HOUSE TYPE E.O COSTS REV A"/>
      <sheetName val=" Supers Trades"/>
      <sheetName val="Externals"/>
      <sheetName val="Development Expenses"/>
      <sheetName val="Sales&amp;Marketing"/>
      <sheetName val="COMMUNAL B OF Q (optional)"/>
      <sheetName val="CSH COST TEMPLATE"/>
      <sheetName val="Ecohomes"/>
      <sheetName val="CARTAWAY"/>
      <sheetName val="Areas Take-Off,Paths,Roads"/>
      <sheetName val="NHBC Input (calc only)"/>
      <sheetName val="NHBC FEES (calc only)"/>
      <sheetName val="Landscaping"/>
      <sheetName val="GRAPH"/>
      <sheetName val="Module General"/>
      <sheetName val="Module Print Input"/>
      <sheetName val="Module Print Bill"/>
      <sheetName val="Module Print Others"/>
      <sheetName val="Module Go To"/>
      <sheetName val="Sheet1"/>
      <sheetName val="Lightfoot Lane - Viability - Ju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3">
          <cell r="A3" t="str">
            <v>Cost Sub</v>
          </cell>
          <cell r="B3" t="str">
            <v>(All)</v>
          </cell>
        </row>
        <row r="5">
          <cell r="A5" t="str">
            <v>Sum of Totals</v>
          </cell>
        </row>
        <row r="6">
          <cell r="A6" t="str">
            <v>Cost Head</v>
          </cell>
          <cell r="B6" t="str">
            <v>SUPERSTRUCTURES</v>
          </cell>
          <cell r="C6" t="str">
            <v>Total</v>
          </cell>
        </row>
        <row r="7">
          <cell r="A7" t="str">
            <v>3081</v>
          </cell>
          <cell r="B7" t="str">
            <v>Frame other</v>
          </cell>
          <cell r="C7">
            <v>0</v>
          </cell>
        </row>
        <row r="8">
          <cell r="B8" t="str">
            <v>Inistu RC frame and flat slab</v>
          </cell>
          <cell r="C8">
            <v>0</v>
          </cell>
        </row>
        <row r="9">
          <cell r="B9" t="str">
            <v>Inistu RC frame and post tensioned slab</v>
          </cell>
          <cell r="C9">
            <v>0</v>
          </cell>
        </row>
        <row r="10">
          <cell r="B10" t="str">
            <v>PCC Cross Wall -  (walls, floors,roof,stairs)</v>
          </cell>
          <cell r="C10">
            <v>0</v>
          </cell>
        </row>
        <row r="11">
          <cell r="B11" t="str">
            <v>PCC Cross Wall + Sandwich panel (walls, floors,roof,stairs)</v>
          </cell>
          <cell r="C11">
            <v>0</v>
          </cell>
        </row>
        <row r="12">
          <cell r="B12" t="str">
            <v>Steel frame and floors</v>
          </cell>
          <cell r="C12">
            <v>0</v>
          </cell>
        </row>
        <row r="13">
          <cell r="B13" t="str">
            <v>Timber Frame - (walls, floors,roof)</v>
          </cell>
          <cell r="C13">
            <v>0</v>
          </cell>
        </row>
        <row r="14">
          <cell r="B14" t="str">
            <v>Trad Build - PCC floors and stairs</v>
          </cell>
          <cell r="C14">
            <v>0</v>
          </cell>
        </row>
        <row r="15">
          <cell r="A15" t="str">
            <v>3081 Total</v>
          </cell>
          <cell r="C15">
            <v>0</v>
          </cell>
        </row>
        <row r="16">
          <cell r="A16" t="str">
            <v>3091</v>
          </cell>
          <cell r="B16" t="str">
            <v>Balcony  Decks</v>
          </cell>
          <cell r="C16">
            <v>0</v>
          </cell>
        </row>
        <row r="17">
          <cell r="B17" t="str">
            <v>Balcony Handrails and Juliets</v>
          </cell>
          <cell r="C17">
            <v>0</v>
          </cell>
        </row>
        <row r="18">
          <cell r="B18" t="str">
            <v>Balcony steel structures</v>
          </cell>
          <cell r="C18">
            <v>0</v>
          </cell>
        </row>
        <row r="19">
          <cell r="B19" t="str">
            <v>External Cladding  - metal</v>
          </cell>
          <cell r="C19">
            <v>0</v>
          </cell>
        </row>
        <row r="20">
          <cell r="A20" t="str">
            <v>3091 Total</v>
          </cell>
          <cell r="C20">
            <v>0</v>
          </cell>
        </row>
        <row r="21">
          <cell r="A21" t="str">
            <v>3101</v>
          </cell>
          <cell r="B21" t="str">
            <v>External Cladding  - render</v>
          </cell>
          <cell r="C21">
            <v>0</v>
          </cell>
        </row>
        <row r="22">
          <cell r="B22" t="str">
            <v>External Cladding - (Other)</v>
          </cell>
          <cell r="C22">
            <v>0</v>
          </cell>
        </row>
        <row r="23">
          <cell r="B23" t="str">
            <v>External Cladding - fire cavity barriers</v>
          </cell>
          <cell r="C23">
            <v>0</v>
          </cell>
        </row>
        <row r="24">
          <cell r="B24" t="str">
            <v>Other Ancilliary Cladding Items</v>
          </cell>
          <cell r="C24">
            <v>0</v>
          </cell>
        </row>
        <row r="25">
          <cell r="B25" t="str">
            <v>Trad Build Brickwork/Blockwork Labour</v>
          </cell>
          <cell r="C25">
            <v>0</v>
          </cell>
        </row>
        <row r="26">
          <cell r="B26" t="str">
            <v>External Cladding - Brick/Block Labour</v>
          </cell>
          <cell r="C26">
            <v>0</v>
          </cell>
        </row>
        <row r="27">
          <cell r="A27" t="str">
            <v>3101 Total</v>
          </cell>
          <cell r="C27">
            <v>0</v>
          </cell>
        </row>
        <row r="28">
          <cell r="A28" t="str">
            <v>3102</v>
          </cell>
          <cell r="B28" t="str">
            <v xml:space="preserve">Trad Build Brickwork/Blockwork  Materials </v>
          </cell>
          <cell r="C28">
            <v>0</v>
          </cell>
        </row>
        <row r="29">
          <cell r="B29" t="str">
            <v>External Cladding - Brick/Block Materials</v>
          </cell>
          <cell r="C29">
            <v>0</v>
          </cell>
        </row>
        <row r="30">
          <cell r="A30" t="str">
            <v>3102 Total</v>
          </cell>
          <cell r="C30">
            <v>0</v>
          </cell>
        </row>
        <row r="31">
          <cell r="A31" t="str">
            <v>3121</v>
          </cell>
          <cell r="B31" t="str">
            <v>Scaffolding / mast climbers</v>
          </cell>
          <cell r="C31">
            <v>0</v>
          </cell>
        </row>
        <row r="32">
          <cell r="A32" t="str">
            <v>3121 Total</v>
          </cell>
          <cell r="C32">
            <v>0</v>
          </cell>
        </row>
        <row r="33">
          <cell r="A33" t="str">
            <v>3131</v>
          </cell>
          <cell r="B33" t="str">
            <v>Roof Drainage</v>
          </cell>
          <cell r="C33">
            <v>0</v>
          </cell>
        </row>
        <row r="34">
          <cell r="B34" t="str">
            <v>Roof perimeter coping and mansafe system</v>
          </cell>
          <cell r="C34">
            <v>0</v>
          </cell>
        </row>
        <row r="35">
          <cell r="B35" t="str">
            <v>Roof Tiling / Cladding</v>
          </cell>
          <cell r="C35">
            <v>0</v>
          </cell>
        </row>
        <row r="36">
          <cell r="A36" t="str">
            <v>3131 Total</v>
          </cell>
          <cell r="C36">
            <v>0</v>
          </cell>
        </row>
        <row r="37">
          <cell r="A37" t="str">
            <v>3141</v>
          </cell>
          <cell r="B37" t="str">
            <v>Insulation  - Part L upgraded</v>
          </cell>
          <cell r="C37">
            <v>0</v>
          </cell>
        </row>
        <row r="38">
          <cell r="B38" t="str">
            <v>Part L &amp; F update provision (2006 Regs insulation to slab*)</v>
          </cell>
          <cell r="C38">
            <v>0</v>
          </cell>
        </row>
        <row r="39">
          <cell r="A39" t="str">
            <v>3141 Total</v>
          </cell>
          <cell r="C39">
            <v>0</v>
          </cell>
        </row>
        <row r="40">
          <cell r="A40" t="str">
            <v>3151</v>
          </cell>
          <cell r="B40" t="str">
            <v>Communal area fit out - floating floor</v>
          </cell>
          <cell r="C40">
            <v>0</v>
          </cell>
        </row>
        <row r="41">
          <cell r="B41" t="str">
            <v>Communal area fit out - joiner labour</v>
          </cell>
          <cell r="C41">
            <v>0</v>
          </cell>
        </row>
        <row r="42">
          <cell r="B42" t="str">
            <v>External Cladding - cedar</v>
          </cell>
          <cell r="C42">
            <v>0</v>
          </cell>
        </row>
        <row r="43">
          <cell r="B43" t="str">
            <v>Floating floor to TF apartments (PC - £25/m2)</v>
          </cell>
          <cell r="C43">
            <v>0</v>
          </cell>
        </row>
        <row r="44">
          <cell r="B44" t="str">
            <v>Joinery labour</v>
          </cell>
          <cell r="C44">
            <v>0</v>
          </cell>
        </row>
        <row r="45">
          <cell r="B45" t="str">
            <v>Partitions (timber / mf - state type)</v>
          </cell>
          <cell r="C45">
            <v>0</v>
          </cell>
        </row>
        <row r="46">
          <cell r="B46" t="str">
            <v>Trad Build - Roof Structure Labour</v>
          </cell>
          <cell r="C46">
            <v>0</v>
          </cell>
        </row>
        <row r="47">
          <cell r="B47" t="str">
            <v>Trad Build - Joists and Floors Labour</v>
          </cell>
          <cell r="C47">
            <v>0</v>
          </cell>
        </row>
        <row r="48">
          <cell r="A48" t="str">
            <v>3151 Total</v>
          </cell>
          <cell r="C48">
            <v>0</v>
          </cell>
        </row>
        <row r="49">
          <cell r="A49" t="str">
            <v>3152</v>
          </cell>
          <cell r="B49" t="str">
            <v>Communal area fit out - joiner material</v>
          </cell>
          <cell r="C49">
            <v>0</v>
          </cell>
        </row>
        <row r="50">
          <cell r="B50" t="str">
            <v>Joinery materials</v>
          </cell>
          <cell r="C50">
            <v>0</v>
          </cell>
        </row>
        <row r="51">
          <cell r="B51" t="str">
            <v>Trad Build - Roof Structure Material</v>
          </cell>
          <cell r="C51">
            <v>0</v>
          </cell>
        </row>
        <row r="52">
          <cell r="B52" t="str">
            <v>Wardrobes (S&amp;F)</v>
          </cell>
          <cell r="C52">
            <v>0</v>
          </cell>
        </row>
        <row r="53">
          <cell r="B53" t="str">
            <v>Trad Build - Joists and Floors Material</v>
          </cell>
          <cell r="C53">
            <v>0</v>
          </cell>
        </row>
        <row r="54">
          <cell r="A54" t="str">
            <v>3152 Total</v>
          </cell>
          <cell r="C54">
            <v>0</v>
          </cell>
        </row>
        <row r="55">
          <cell r="A55" t="str">
            <v>3161</v>
          </cell>
          <cell r="B55" t="str">
            <v>Kitchen Units (furniture)</v>
          </cell>
          <cell r="C55">
            <v>0</v>
          </cell>
        </row>
        <row r="56">
          <cell r="B56" t="str">
            <v>Kitchen White Goods  (inc VAT)</v>
          </cell>
          <cell r="C56">
            <v>0</v>
          </cell>
        </row>
        <row r="57">
          <cell r="A57" t="str">
            <v>3161 Total</v>
          </cell>
          <cell r="C57">
            <v>0</v>
          </cell>
        </row>
        <row r="58">
          <cell r="A58" t="str">
            <v>3181</v>
          </cell>
          <cell r="B58" t="str">
            <v>Electrical Heating (wet)</v>
          </cell>
          <cell r="C58">
            <v>0</v>
          </cell>
        </row>
        <row r="59">
          <cell r="B59" t="str">
            <v>Gas Heating system</v>
          </cell>
          <cell r="C59">
            <v>0</v>
          </cell>
        </row>
        <row r="60">
          <cell r="B60" t="str">
            <v>Heating (other renewable source - state type)</v>
          </cell>
          <cell r="C60">
            <v>0</v>
          </cell>
        </row>
        <row r="61">
          <cell r="B61" t="str">
            <v>Plumbing only  inc sanitaryware</v>
          </cell>
          <cell r="C61">
            <v>0</v>
          </cell>
        </row>
        <row r="62">
          <cell r="B62" t="str">
            <v>Water Guard to Apartments</v>
          </cell>
          <cell r="C62">
            <v>0</v>
          </cell>
        </row>
        <row r="63">
          <cell r="A63" t="str">
            <v>3181 Total</v>
          </cell>
          <cell r="C63">
            <v>0</v>
          </cell>
        </row>
        <row r="64">
          <cell r="A64" t="str">
            <v>3191</v>
          </cell>
          <cell r="B64" t="str">
            <v>Mastic Pointing</v>
          </cell>
          <cell r="C64">
            <v>0</v>
          </cell>
        </row>
        <row r="65">
          <cell r="A65" t="str">
            <v>3191 Total</v>
          </cell>
          <cell r="C65">
            <v>0</v>
          </cell>
        </row>
        <row r="66">
          <cell r="A66" t="str">
            <v>3201</v>
          </cell>
          <cell r="B66" t="str">
            <v>Audio / Visual Entry</v>
          </cell>
          <cell r="C66">
            <v>0</v>
          </cell>
        </row>
        <row r="67">
          <cell r="B67" t="str">
            <v>Electrical  fit out</v>
          </cell>
          <cell r="C67">
            <v>0</v>
          </cell>
        </row>
        <row r="68">
          <cell r="B68" t="str">
            <v>Electrical Heating (dry)</v>
          </cell>
          <cell r="C68">
            <v>0</v>
          </cell>
        </row>
        <row r="69">
          <cell r="B69" t="str">
            <v>IT System</v>
          </cell>
          <cell r="C69">
            <v>0</v>
          </cell>
        </row>
        <row r="70">
          <cell r="B70" t="str">
            <v xml:space="preserve">TV Distribution </v>
          </cell>
          <cell r="C70">
            <v>0</v>
          </cell>
        </row>
        <row r="71">
          <cell r="A71" t="str">
            <v>3201 Total</v>
          </cell>
          <cell r="C71">
            <v>0</v>
          </cell>
        </row>
        <row r="72">
          <cell r="A72" t="str">
            <v>3211</v>
          </cell>
          <cell r="B72" t="str">
            <v>Communal areas M &amp; E (see B of Q for detail)</v>
          </cell>
          <cell r="C72">
            <v>0</v>
          </cell>
        </row>
        <row r="73">
          <cell r="B73" t="str">
            <v xml:space="preserve">Sprinklers </v>
          </cell>
          <cell r="C73">
            <v>0</v>
          </cell>
        </row>
        <row r="74">
          <cell r="B74" t="str">
            <v>Ventilation System</v>
          </cell>
          <cell r="C74">
            <v>0</v>
          </cell>
        </row>
        <row r="75">
          <cell r="A75" t="str">
            <v>3211 Total</v>
          </cell>
          <cell r="C75">
            <v>0</v>
          </cell>
        </row>
        <row r="76">
          <cell r="A76" t="str">
            <v>3221</v>
          </cell>
          <cell r="B76" t="str">
            <v>Communal area fit out - plasterer &amp; suspended ceilings</v>
          </cell>
          <cell r="C76">
            <v>0</v>
          </cell>
        </row>
        <row r="77">
          <cell r="B77" t="str">
            <v>Communal area fit out - Screeded Floor Finish</v>
          </cell>
          <cell r="C77">
            <v>0</v>
          </cell>
        </row>
        <row r="78">
          <cell r="B78" t="str">
            <v>Dry lining / Plastering</v>
          </cell>
          <cell r="C78">
            <v>0</v>
          </cell>
        </row>
        <row r="79">
          <cell r="B79" t="str">
            <v>Screeding + resilient layer (Gyvlon + Regupol - PC £16/m2)</v>
          </cell>
          <cell r="C79">
            <v>0</v>
          </cell>
        </row>
        <row r="80">
          <cell r="B80" t="str">
            <v>Suspended Ceilings</v>
          </cell>
          <cell r="C80">
            <v>0</v>
          </cell>
        </row>
        <row r="81">
          <cell r="A81" t="str">
            <v>3221 Total</v>
          </cell>
          <cell r="C81">
            <v>0</v>
          </cell>
        </row>
        <row r="82">
          <cell r="A82" t="str">
            <v>3241</v>
          </cell>
          <cell r="B82" t="str">
            <v>Floor Tiling / finishes</v>
          </cell>
          <cell r="C82">
            <v>0</v>
          </cell>
        </row>
        <row r="83">
          <cell r="B83" t="str">
            <v>Wall Tiling</v>
          </cell>
          <cell r="C83">
            <v>0</v>
          </cell>
        </row>
        <row r="84">
          <cell r="A84" t="str">
            <v>3241 Total</v>
          </cell>
          <cell r="C84">
            <v>0</v>
          </cell>
        </row>
        <row r="85">
          <cell r="A85" t="str">
            <v>3251</v>
          </cell>
          <cell r="B85" t="str">
            <v xml:space="preserve">Communal area fit out - decorating </v>
          </cell>
          <cell r="C85">
            <v>0</v>
          </cell>
        </row>
        <row r="86">
          <cell r="B86" t="str">
            <v>Decorations</v>
          </cell>
          <cell r="C86">
            <v>0</v>
          </cell>
        </row>
        <row r="87">
          <cell r="A87" t="str">
            <v>3251 Total</v>
          </cell>
          <cell r="C87">
            <v>0</v>
          </cell>
        </row>
        <row r="88">
          <cell r="A88" t="str">
            <v>3271</v>
          </cell>
          <cell r="B88" t="str">
            <v>Brick / cladding cleaning</v>
          </cell>
          <cell r="C88">
            <v>0</v>
          </cell>
        </row>
        <row r="89">
          <cell r="B89" t="str">
            <v>Cleaning</v>
          </cell>
          <cell r="C89">
            <v>0</v>
          </cell>
        </row>
        <row r="90">
          <cell r="B90" t="str">
            <v>Communal area fit out - cleaning</v>
          </cell>
          <cell r="C90">
            <v>0</v>
          </cell>
        </row>
        <row r="91">
          <cell r="A91" t="str">
            <v>3271 Total</v>
          </cell>
          <cell r="C91">
            <v>0</v>
          </cell>
        </row>
        <row r="92">
          <cell r="A92" t="str">
            <v>3301</v>
          </cell>
          <cell r="B92" t="str">
            <v>Alarm</v>
          </cell>
          <cell r="C92">
            <v>0</v>
          </cell>
        </row>
        <row r="93">
          <cell r="A93" t="str">
            <v>3301 Total</v>
          </cell>
          <cell r="C93">
            <v>0</v>
          </cell>
        </row>
        <row r="94">
          <cell r="A94" t="str">
            <v>3311</v>
          </cell>
          <cell r="B94" t="str">
            <v>Fire Places</v>
          </cell>
          <cell r="C94">
            <v>0</v>
          </cell>
        </row>
        <row r="95">
          <cell r="A95" t="str">
            <v>3311 Total</v>
          </cell>
          <cell r="C95">
            <v>0</v>
          </cell>
        </row>
        <row r="96">
          <cell r="A96" t="str">
            <v>3321</v>
          </cell>
          <cell r="B96" t="str">
            <v>Lifts</v>
          </cell>
          <cell r="C96">
            <v>0</v>
          </cell>
        </row>
        <row r="97">
          <cell r="A97" t="str">
            <v>3321 Total</v>
          </cell>
          <cell r="C97">
            <v>0</v>
          </cell>
        </row>
        <row r="98">
          <cell r="A98" t="str">
            <v>3383</v>
          </cell>
          <cell r="B98" t="str">
            <v>Communal area fit out - Other</v>
          </cell>
          <cell r="C98">
            <v>0</v>
          </cell>
        </row>
        <row r="99">
          <cell r="A99" t="str">
            <v>3383 Total</v>
          </cell>
          <cell r="C99">
            <v>0</v>
          </cell>
        </row>
        <row r="100">
          <cell r="A100" t="str">
            <v>3901</v>
          </cell>
          <cell r="B100" t="str">
            <v>Garage Doors</v>
          </cell>
          <cell r="C100">
            <v>0</v>
          </cell>
        </row>
        <row r="101">
          <cell r="A101" t="str">
            <v>3901 Total</v>
          </cell>
          <cell r="C101">
            <v>0</v>
          </cell>
        </row>
        <row r="102">
          <cell r="A102" t="str">
            <v>338306</v>
          </cell>
          <cell r="B102" t="str">
            <v>Affordable housing adjustment</v>
          </cell>
          <cell r="C102">
            <v>0</v>
          </cell>
        </row>
        <row r="103">
          <cell r="B103" t="str">
            <v>CONTINGENCY</v>
          </cell>
          <cell r="C103">
            <v>0</v>
          </cell>
        </row>
        <row r="104">
          <cell r="B104" t="str">
            <v>Double Garages - detached</v>
          </cell>
          <cell r="C104">
            <v>0</v>
          </cell>
        </row>
        <row r="105">
          <cell r="B105" t="str">
            <v>Ecohomes 'Excellent'</v>
          </cell>
          <cell r="C105">
            <v>0</v>
          </cell>
        </row>
        <row r="106">
          <cell r="B106" t="str">
            <v>Ecohomes 'Good'</v>
          </cell>
          <cell r="C106">
            <v>0</v>
          </cell>
        </row>
        <row r="107">
          <cell r="B107" t="str">
            <v>Ecohomes 'Very Good'</v>
          </cell>
          <cell r="C107">
            <v>0</v>
          </cell>
        </row>
        <row r="108">
          <cell r="B108" t="str">
            <v>Expansion Space</v>
          </cell>
          <cell r="C108">
            <v>0</v>
          </cell>
        </row>
        <row r="109">
          <cell r="B109" t="str">
            <v>Other - state</v>
          </cell>
          <cell r="C109">
            <v>0</v>
          </cell>
        </row>
        <row r="110">
          <cell r="B110" t="str">
            <v>Single Garages - detached</v>
          </cell>
          <cell r="C110">
            <v>0</v>
          </cell>
        </row>
        <row r="111">
          <cell r="B111" t="str">
            <v>TOTAL BUILD (prior to trade splits)</v>
          </cell>
          <cell r="C111">
            <v>0</v>
          </cell>
        </row>
        <row r="112">
          <cell r="B112" t="str">
            <v>(blank)</v>
          </cell>
          <cell r="C112">
            <v>9000</v>
          </cell>
        </row>
        <row r="113">
          <cell r="A113" t="str">
            <v>338306 Total</v>
          </cell>
          <cell r="C113">
            <v>9000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>
        <row r="35">
          <cell r="P35">
            <v>1680000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>
        <row r="1">
          <cell r="W1" t="str">
            <v>Church Street, Warrington - PFR - YH TYPES 107 units</v>
          </cell>
        </row>
        <row r="57">
          <cell r="G57">
            <v>0</v>
          </cell>
        </row>
        <row r="58">
          <cell r="G58">
            <v>0</v>
          </cell>
        </row>
        <row r="74">
          <cell r="D74">
            <v>0</v>
          </cell>
          <cell r="G74">
            <v>813</v>
          </cell>
        </row>
        <row r="75">
          <cell r="D75">
            <v>0</v>
          </cell>
          <cell r="G75">
            <v>930</v>
          </cell>
        </row>
        <row r="76">
          <cell r="D76">
            <v>0</v>
          </cell>
          <cell r="G76">
            <v>1026</v>
          </cell>
        </row>
        <row r="77">
          <cell r="D77">
            <v>0</v>
          </cell>
          <cell r="G77">
            <v>1026</v>
          </cell>
        </row>
        <row r="78">
          <cell r="D78">
            <v>7</v>
          </cell>
          <cell r="G78">
            <v>725</v>
          </cell>
        </row>
        <row r="79">
          <cell r="D79">
            <v>8</v>
          </cell>
          <cell r="G79">
            <v>725</v>
          </cell>
        </row>
        <row r="80">
          <cell r="D80">
            <v>6</v>
          </cell>
          <cell r="G80">
            <v>750</v>
          </cell>
        </row>
        <row r="81">
          <cell r="D81">
            <v>10</v>
          </cell>
          <cell r="G81">
            <v>750</v>
          </cell>
        </row>
        <row r="82">
          <cell r="D82">
            <v>11</v>
          </cell>
          <cell r="G82">
            <v>871</v>
          </cell>
        </row>
        <row r="83">
          <cell r="D83">
            <v>5</v>
          </cell>
          <cell r="G83">
            <v>861</v>
          </cell>
        </row>
        <row r="84">
          <cell r="D84">
            <v>4</v>
          </cell>
          <cell r="G84">
            <v>861</v>
          </cell>
        </row>
        <row r="92">
          <cell r="D92">
            <v>0</v>
          </cell>
          <cell r="G92">
            <v>1026</v>
          </cell>
        </row>
        <row r="93">
          <cell r="D93">
            <v>0</v>
          </cell>
          <cell r="G93">
            <v>1026</v>
          </cell>
        </row>
        <row r="94">
          <cell r="D94">
            <v>0</v>
          </cell>
          <cell r="G94">
            <v>1126</v>
          </cell>
        </row>
        <row r="95">
          <cell r="D95">
            <v>0</v>
          </cell>
          <cell r="G95">
            <v>1126</v>
          </cell>
        </row>
        <row r="96">
          <cell r="D96">
            <v>0</v>
          </cell>
          <cell r="G96">
            <v>1126</v>
          </cell>
        </row>
        <row r="97">
          <cell r="D97">
            <v>0</v>
          </cell>
          <cell r="G97">
            <v>1126</v>
          </cell>
        </row>
        <row r="98">
          <cell r="D98">
            <v>0</v>
          </cell>
          <cell r="G98">
            <v>1126</v>
          </cell>
        </row>
        <row r="99">
          <cell r="D99">
            <v>0</v>
          </cell>
          <cell r="G99">
            <v>1126</v>
          </cell>
        </row>
        <row r="100">
          <cell r="D100">
            <v>0</v>
          </cell>
          <cell r="G100">
            <v>1126</v>
          </cell>
        </row>
        <row r="101">
          <cell r="D101">
            <v>0</v>
          </cell>
          <cell r="G101">
            <v>1126</v>
          </cell>
        </row>
        <row r="103">
          <cell r="D103">
            <v>0</v>
          </cell>
          <cell r="G103">
            <v>450</v>
          </cell>
        </row>
        <row r="104">
          <cell r="D104">
            <v>56</v>
          </cell>
          <cell r="G104">
            <v>649</v>
          </cell>
        </row>
      </sheetData>
      <sheetData sheetId="28">
        <row r="4">
          <cell r="H4">
            <v>56</v>
          </cell>
        </row>
        <row r="10">
          <cell r="H10">
            <v>445888.96452892758</v>
          </cell>
        </row>
      </sheetData>
      <sheetData sheetId="29">
        <row r="6">
          <cell r="H6">
            <v>787772.18181818188</v>
          </cell>
        </row>
      </sheetData>
      <sheetData sheetId="30">
        <row r="42">
          <cell r="D42" t="e">
            <v>#REF!</v>
          </cell>
        </row>
        <row r="45">
          <cell r="BI45">
            <v>0</v>
          </cell>
          <cell r="BK45">
            <v>0</v>
          </cell>
          <cell r="BM45">
            <v>0</v>
          </cell>
          <cell r="BO45">
            <v>0</v>
          </cell>
          <cell r="BQ45">
            <v>0</v>
          </cell>
          <cell r="BS45">
            <v>0</v>
          </cell>
          <cell r="BU45">
            <v>0</v>
          </cell>
          <cell r="BW45">
            <v>0</v>
          </cell>
          <cell r="BY45">
            <v>0</v>
          </cell>
          <cell r="CA45">
            <v>0</v>
          </cell>
          <cell r="CC45">
            <v>0</v>
          </cell>
          <cell r="CE45">
            <v>0</v>
          </cell>
          <cell r="CG45">
            <v>0</v>
          </cell>
          <cell r="CI45">
            <v>0</v>
          </cell>
          <cell r="CK45">
            <v>0</v>
          </cell>
          <cell r="CM45">
            <v>0</v>
          </cell>
          <cell r="CO45">
            <v>0</v>
          </cell>
          <cell r="CQ45">
            <v>0</v>
          </cell>
          <cell r="CS45">
            <v>0</v>
          </cell>
          <cell r="CU45">
            <v>0</v>
          </cell>
          <cell r="CW45">
            <v>0</v>
          </cell>
          <cell r="CY45">
            <v>0</v>
          </cell>
          <cell r="DA45">
            <v>0</v>
          </cell>
          <cell r="DC45">
            <v>0</v>
          </cell>
          <cell r="DE45">
            <v>0</v>
          </cell>
          <cell r="DG45">
            <v>0</v>
          </cell>
          <cell r="DI45">
            <v>0</v>
          </cell>
          <cell r="DK45">
            <v>0</v>
          </cell>
          <cell r="DM45">
            <v>0</v>
          </cell>
          <cell r="DO45">
            <v>4642</v>
          </cell>
          <cell r="DQ45">
            <v>5496</v>
          </cell>
          <cell r="DS45">
            <v>6259</v>
          </cell>
          <cell r="DU45">
            <v>6648</v>
          </cell>
          <cell r="DW45">
            <v>3750</v>
          </cell>
          <cell r="DY45">
            <v>4025</v>
          </cell>
          <cell r="EA45">
            <v>5126</v>
          </cell>
          <cell r="EC45">
            <v>5206</v>
          </cell>
          <cell r="EE45">
            <v>4276</v>
          </cell>
          <cell r="EG45">
            <v>5180</v>
          </cell>
          <cell r="EI45">
            <v>6059</v>
          </cell>
          <cell r="EK45">
            <v>0</v>
          </cell>
          <cell r="EM45">
            <v>0</v>
          </cell>
          <cell r="EO45">
            <v>0</v>
          </cell>
          <cell r="EQ45">
            <v>8546</v>
          </cell>
          <cell r="ES45">
            <v>0</v>
          </cell>
          <cell r="EU45">
            <v>0</v>
          </cell>
          <cell r="EW45">
            <v>0</v>
          </cell>
          <cell r="EY45">
            <v>0</v>
          </cell>
          <cell r="FA45">
            <v>0</v>
          </cell>
          <cell r="FC45">
            <v>0</v>
          </cell>
          <cell r="FE45">
            <v>0</v>
          </cell>
          <cell r="FG45">
            <v>0</v>
          </cell>
          <cell r="FI45">
            <v>0</v>
          </cell>
          <cell r="FK45">
            <v>0</v>
          </cell>
          <cell r="FM45">
            <v>0</v>
          </cell>
          <cell r="FO45">
            <v>0</v>
          </cell>
          <cell r="FQ45">
            <v>0</v>
          </cell>
          <cell r="FS45">
            <v>1350</v>
          </cell>
          <cell r="FU45">
            <v>3769.125</v>
          </cell>
          <cell r="FW45">
            <v>0</v>
          </cell>
          <cell r="FY45">
            <v>0</v>
          </cell>
          <cell r="GA45">
            <v>0</v>
          </cell>
          <cell r="GC45">
            <v>0</v>
          </cell>
          <cell r="GE45">
            <v>0</v>
          </cell>
          <cell r="GG45">
            <v>0</v>
          </cell>
          <cell r="GI45">
            <v>0</v>
          </cell>
          <cell r="GK45">
            <v>0</v>
          </cell>
          <cell r="GM45">
            <v>0</v>
          </cell>
          <cell r="GO45">
            <v>0</v>
          </cell>
          <cell r="GQ45">
            <v>0</v>
          </cell>
          <cell r="GS45">
            <v>0</v>
          </cell>
          <cell r="GU45">
            <v>0</v>
          </cell>
          <cell r="GW45">
            <v>0</v>
          </cell>
          <cell r="GY45">
            <v>0</v>
          </cell>
          <cell r="HA45">
            <v>0</v>
          </cell>
          <cell r="HC45">
            <v>0</v>
          </cell>
          <cell r="HE45">
            <v>0</v>
          </cell>
        </row>
      </sheetData>
      <sheetData sheetId="31" refreshError="1"/>
      <sheetData sheetId="32" refreshError="1"/>
      <sheetData sheetId="33" refreshError="1"/>
      <sheetData sheetId="34">
        <row r="8">
          <cell r="H8">
            <v>76549</v>
          </cell>
        </row>
        <row r="106">
          <cell r="BK106"/>
          <cell r="BM106"/>
          <cell r="BO106"/>
          <cell r="BQ106"/>
          <cell r="BS106"/>
          <cell r="BU106"/>
          <cell r="BW106"/>
          <cell r="BY106">
            <v>0</v>
          </cell>
          <cell r="CA106">
            <v>0</v>
          </cell>
          <cell r="CC106"/>
          <cell r="CE106"/>
          <cell r="CG106"/>
          <cell r="CI106"/>
          <cell r="CK106"/>
          <cell r="CM106"/>
          <cell r="CO106"/>
          <cell r="CQ106"/>
          <cell r="CS106"/>
          <cell r="CU106"/>
          <cell r="CW106"/>
          <cell r="CY106"/>
          <cell r="DA106"/>
          <cell r="DC106"/>
          <cell r="DE106"/>
          <cell r="DG106"/>
          <cell r="DI106"/>
          <cell r="DK106"/>
          <cell r="DM106"/>
          <cell r="DO106"/>
          <cell r="DQ106">
            <v>32710</v>
          </cell>
          <cell r="DS106">
            <v>36085</v>
          </cell>
          <cell r="DU106">
            <v>40299</v>
          </cell>
          <cell r="DW106">
            <v>41294</v>
          </cell>
          <cell r="DY106">
            <v>28452.25</v>
          </cell>
          <cell r="EA106">
            <v>30414.25</v>
          </cell>
          <cell r="EC106">
            <v>34269.78</v>
          </cell>
          <cell r="EE106">
            <v>34471.64</v>
          </cell>
          <cell r="EG106">
            <v>37003.86</v>
          </cell>
          <cell r="EI106">
            <v>29145.5</v>
          </cell>
          <cell r="EK106">
            <v>31153.5</v>
          </cell>
          <cell r="EM106"/>
          <cell r="EO106"/>
          <cell r="EQ106"/>
          <cell r="ES106"/>
          <cell r="EU106"/>
          <cell r="EW106"/>
          <cell r="EY106"/>
          <cell r="FA106">
            <v>39716.629999999997</v>
          </cell>
          <cell r="FC106">
            <v>38866.629999999997</v>
          </cell>
          <cell r="FE106">
            <v>40294.720000000001</v>
          </cell>
          <cell r="FG106">
            <v>41144.720000000001</v>
          </cell>
          <cell r="FI106">
            <v>41897.72</v>
          </cell>
          <cell r="FK106">
            <v>41047.72</v>
          </cell>
          <cell r="FM106">
            <v>41423.160000000003</v>
          </cell>
          <cell r="FO106">
            <v>42273.16</v>
          </cell>
          <cell r="FQ106">
            <v>43026.16</v>
          </cell>
          <cell r="FS106">
            <v>0</v>
          </cell>
          <cell r="FU106">
            <v>27000</v>
          </cell>
          <cell r="FW106">
            <v>38701.230000000003</v>
          </cell>
          <cell r="FY106"/>
          <cell r="GA106"/>
          <cell r="GC106"/>
          <cell r="GE106"/>
          <cell r="GG106"/>
          <cell r="GI106"/>
          <cell r="GK106"/>
          <cell r="GM106"/>
          <cell r="GO106"/>
          <cell r="GQ106"/>
          <cell r="GS106"/>
          <cell r="GU106"/>
          <cell r="GW106"/>
          <cell r="GY106"/>
          <cell r="HA106"/>
          <cell r="HC106"/>
          <cell r="HE106"/>
          <cell r="HG106"/>
        </row>
      </sheetData>
      <sheetData sheetId="35">
        <row r="4">
          <cell r="H4">
            <v>501083</v>
          </cell>
        </row>
        <row r="86">
          <cell r="H86">
            <v>354890</v>
          </cell>
        </row>
      </sheetData>
      <sheetData sheetId="36">
        <row r="5">
          <cell r="H5" t="e">
            <v>#REF!</v>
          </cell>
        </row>
      </sheetData>
      <sheetData sheetId="37">
        <row r="12">
          <cell r="H12">
            <v>0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visions"/>
      <sheetName val="Appendix 1"/>
      <sheetName val="Appendix 2"/>
      <sheetName val="Appendix 3"/>
      <sheetName val="Appendix 4"/>
      <sheetName val="Appendix 5"/>
      <sheetName val="Appendix 6"/>
      <sheetName val="Appendix 7"/>
      <sheetName val="Appendix 8"/>
      <sheetName val="Appendix 9"/>
      <sheetName val="Appendix 10"/>
      <sheetName val="Appendix 11"/>
      <sheetName val="Appendix 12 "/>
      <sheetName val="Appendix 13"/>
      <sheetName val="Appendix 14"/>
      <sheetName val="Appendix 15"/>
      <sheetName val="Appendix 16"/>
      <sheetName val="Appendix 17"/>
      <sheetName val="Appendix 18"/>
      <sheetName val="Appendix 19"/>
      <sheetName val="Appendix 19 - Example"/>
      <sheetName val="Appendix 20"/>
    </sheetNames>
    <sheetDataSet>
      <sheetData sheetId="0">
        <row r="1">
          <cell r="A1" t="str">
            <v>Insert division name here</v>
          </cell>
        </row>
        <row r="2">
          <cell r="A2" t="str">
            <v>Barking Riverside</v>
          </cell>
        </row>
        <row r="3">
          <cell r="A3" t="str">
            <v>East Midlands</v>
          </cell>
        </row>
        <row r="4">
          <cell r="A4" t="str">
            <v>Essex</v>
          </cell>
        </row>
        <row r="5">
          <cell r="A5" t="str">
            <v>North East</v>
          </cell>
        </row>
        <row r="6">
          <cell r="A6" t="str">
            <v>North London</v>
          </cell>
        </row>
        <row r="7">
          <cell r="A7" t="str">
            <v>North West</v>
          </cell>
        </row>
        <row r="8">
          <cell r="A8" t="str">
            <v>Northern Home Counties</v>
          </cell>
        </row>
        <row r="9">
          <cell r="A9" t="str">
            <v>Scotland</v>
          </cell>
        </row>
        <row r="10">
          <cell r="A10" t="str">
            <v>South East</v>
          </cell>
        </row>
        <row r="11">
          <cell r="A11" t="str">
            <v>Wales</v>
          </cell>
        </row>
        <row r="12">
          <cell r="A12" t="str">
            <v>Wessex</v>
          </cell>
        </row>
        <row r="13">
          <cell r="A13" t="str">
            <v>West Midlands</v>
          </cell>
        </row>
        <row r="14">
          <cell r="A14" t="str">
            <v>Yorkshire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endix 1"/>
      <sheetName val="Appendix 2"/>
      <sheetName val="Appendix 3"/>
      <sheetName val="Appendix 4"/>
      <sheetName val="Appendix 5"/>
      <sheetName val="Appendix 6"/>
      <sheetName val="Appendix 7"/>
      <sheetName val="Appendix 8"/>
      <sheetName val="Appendix 9"/>
      <sheetName val="Appendix 10"/>
      <sheetName val="Appendix 11"/>
      <sheetName val="Appendix 12 "/>
      <sheetName val="Appendix 13"/>
      <sheetName val="Appendix 14"/>
      <sheetName val="Appendix 15"/>
      <sheetName val="Appendix 16"/>
      <sheetName val="Appendix 17"/>
      <sheetName val="Appendix 18"/>
      <sheetName val="Appendix 19"/>
      <sheetName val="Appendix 19 - Example"/>
      <sheetName val="Appendix 20"/>
      <sheetName val="Divisi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">
          <cell r="A1" t="str">
            <v>Insert division name here</v>
          </cell>
        </row>
        <row r="2">
          <cell r="A2" t="str">
            <v>Barking Riverside</v>
          </cell>
        </row>
        <row r="3">
          <cell r="A3" t="str">
            <v>East Midlands</v>
          </cell>
        </row>
        <row r="4">
          <cell r="A4" t="str">
            <v>Essex</v>
          </cell>
        </row>
        <row r="5">
          <cell r="A5" t="str">
            <v>North East</v>
          </cell>
        </row>
        <row r="6">
          <cell r="A6" t="str">
            <v>North London</v>
          </cell>
        </row>
        <row r="7">
          <cell r="A7" t="str">
            <v>North West</v>
          </cell>
        </row>
        <row r="8">
          <cell r="A8" t="str">
            <v>Northern Home Counties</v>
          </cell>
        </row>
        <row r="9">
          <cell r="A9" t="str">
            <v>Scotland</v>
          </cell>
        </row>
        <row r="10">
          <cell r="A10" t="str">
            <v>South East</v>
          </cell>
        </row>
        <row r="11">
          <cell r="A11" t="str">
            <v>Wales</v>
          </cell>
        </row>
        <row r="12">
          <cell r="A12" t="str">
            <v>Wessex</v>
          </cell>
        </row>
        <row r="13">
          <cell r="A13" t="str">
            <v>West Midlands</v>
          </cell>
        </row>
        <row r="14">
          <cell r="A14" t="str">
            <v>Yorkshire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 SHEET"/>
      <sheetName val="CONSTRAINTS"/>
      <sheetName val="Qualifications"/>
      <sheetName val="Summary"/>
      <sheetName val=" Land"/>
      <sheetName val="Prelims"/>
      <sheetName val=" Roads and Sewers"/>
      <sheetName val=" Substructures"/>
      <sheetName val=" Superstructures"/>
      <sheetName val="BRWK QUANTS"/>
      <sheetName val="Externals"/>
      <sheetName val="Development Expenses"/>
      <sheetName val="Sales&amp;Marketing"/>
      <sheetName val="NHBC FEES"/>
      <sheetName val="NHBC Input"/>
      <sheetName val="NHBC FEES-old"/>
      <sheetName val="NHBC Input-old"/>
      <sheetName val="STRIP FND - TAKE OFF"/>
      <sheetName val="EXT - TAKE OFF"/>
      <sheetName val="Areas Take-Off,Paths,Roads"/>
      <sheetName val="APT &amp; HOUSE SIZES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 refreshError="1"/>
      <sheetData sheetId="10">
        <row r="60">
          <cell r="H60">
            <v>100010</v>
          </cell>
        </row>
      </sheetData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tion"/>
      <sheetName val="Summary"/>
      <sheetName val=" Land"/>
      <sheetName val="Profitability"/>
      <sheetName val="Breakdown"/>
      <sheetName val="Plot Schedule"/>
      <sheetName val="Measurement"/>
      <sheetName val="Filling etc."/>
      <sheetName val="Fence &amp; Landscape"/>
      <sheetName val="Drainage"/>
      <sheetName val="Data"/>
      <sheetName val="Housebuild"/>
      <sheetName val="Material Costs"/>
      <sheetName val="House Pool MCR"/>
      <sheetName val="House Pool NW"/>
      <sheetName val="HB Input"/>
      <sheetName val="HB Summary"/>
      <sheetName val="Old Types"/>
      <sheetName val="Garages"/>
      <sheetName val="Schedule"/>
      <sheetName val="Statistics"/>
      <sheetName val="Report"/>
      <sheetName val="Notes"/>
      <sheetName val="Cash flow"/>
      <sheetName val="Transposed CF"/>
      <sheetName val="Programme"/>
      <sheetName val="Flat pool TBA"/>
      <sheetName val="NHBC"/>
      <sheetName val="Journal"/>
      <sheetName val="Sheet1"/>
      <sheetName val="Sheet2"/>
    </sheetNames>
    <sheetDataSet>
      <sheetData sheetId="0"/>
      <sheetData sheetId="1">
        <row r="59">
          <cell r="F59">
            <v>0</v>
          </cell>
        </row>
        <row r="63">
          <cell r="F63">
            <v>26996846.190537352</v>
          </cell>
        </row>
        <row r="65">
          <cell r="F65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C2">
            <v>150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tion"/>
      <sheetName val="Summary"/>
      <sheetName val=" Land"/>
      <sheetName val="Profitability"/>
      <sheetName val="Breakdown"/>
      <sheetName val="Plot Schedule"/>
      <sheetName val="Measurement"/>
      <sheetName val="Filling etc."/>
      <sheetName val="Fence &amp; Landscape"/>
      <sheetName val="Drainage"/>
      <sheetName val="Data"/>
      <sheetName val="Housebuild"/>
      <sheetName val="Material Costs"/>
      <sheetName val="House Pool MCR"/>
      <sheetName val="House Pool NW"/>
      <sheetName val="HB Input"/>
      <sheetName val="HB Summary"/>
      <sheetName val="Old Types"/>
      <sheetName val="Garages"/>
      <sheetName val="Schedule"/>
      <sheetName val="Statistics"/>
      <sheetName val="Report"/>
      <sheetName val="Notes"/>
      <sheetName val="Cash flow"/>
      <sheetName val="Transposed CF"/>
      <sheetName val="Programme"/>
      <sheetName val="Flat pool TBA"/>
      <sheetName val="NHBC"/>
      <sheetName val="Journal"/>
      <sheetName val="Sheet1"/>
      <sheetName val="Sheet2"/>
    </sheetNames>
    <sheetDataSet>
      <sheetData sheetId="0"/>
      <sheetData sheetId="1">
        <row r="59">
          <cell r="F59">
            <v>0</v>
          </cell>
        </row>
        <row r="63">
          <cell r="F63">
            <v>26996846.190537352</v>
          </cell>
        </row>
        <row r="65">
          <cell r="F65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C2">
            <v>150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tion"/>
      <sheetName val="Profitability"/>
      <sheetName val="Latest Draft Budget"/>
      <sheetName val="Summary"/>
      <sheetName val=" Land"/>
      <sheetName val="Revisions"/>
      <sheetName val="Shared Abnormals"/>
      <sheetName val="Abnormals"/>
      <sheetName val="Statistics"/>
      <sheetName val="Breakdown"/>
      <sheetName val="Schedule"/>
      <sheetName val="Plot Schedule"/>
      <sheetName val="Housebuild"/>
      <sheetName val="Garages"/>
      <sheetName val="NE Hs Bld Data"/>
      <sheetName val="BCIS Cost Index"/>
      <sheetName val="Measurement"/>
      <sheetName val="Filling etc."/>
      <sheetName val="Abnormal Founds Summary"/>
      <sheetName val="Fence &amp; Landscape"/>
      <sheetName val="Retaining Walls"/>
      <sheetName val="Drainage"/>
      <sheetName val="Data"/>
      <sheetName val="Programme"/>
      <sheetName val="House Pool MCR Summary"/>
      <sheetName val="House Pool MCR"/>
      <sheetName val="HB Input"/>
      <sheetName val="Report"/>
      <sheetName val="NHBC"/>
      <sheetName val="Notes"/>
      <sheetName val="Sheet1"/>
      <sheetName val="House Pool NW"/>
      <sheetName val="HB Summary"/>
      <sheetName val="Old Types"/>
      <sheetName val="Flat pool TBA"/>
      <sheetName val="Journal"/>
      <sheetName val="Cash flow"/>
      <sheetName val="Transposed CF"/>
    </sheetNames>
    <sheetDataSet>
      <sheetData sheetId="0"/>
      <sheetData sheetId="1"/>
      <sheetData sheetId="2"/>
      <sheetData sheetId="3">
        <row r="67">
          <cell r="F67">
            <v>0</v>
          </cell>
        </row>
        <row r="70">
          <cell r="F70" t="e">
            <v>#REF!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>
        <row r="1">
          <cell r="A1" t="str">
            <v>Division Name:</v>
          </cell>
        </row>
        <row r="2">
          <cell r="A2" t="str">
            <v>Barking Riverside</v>
          </cell>
        </row>
        <row r="3">
          <cell r="A3" t="str">
            <v>East Midlands</v>
          </cell>
        </row>
        <row r="4">
          <cell r="A4" t="str">
            <v>Essex</v>
          </cell>
        </row>
        <row r="5">
          <cell r="A5" t="str">
            <v>North East</v>
          </cell>
        </row>
        <row r="6">
          <cell r="A6" t="str">
            <v>North London</v>
          </cell>
        </row>
        <row r="7">
          <cell r="A7" t="str">
            <v>North West</v>
          </cell>
        </row>
        <row r="8">
          <cell r="A8" t="str">
            <v>Northern Home Counties</v>
          </cell>
        </row>
        <row r="9">
          <cell r="A9" t="str">
            <v>Scotland</v>
          </cell>
        </row>
        <row r="10">
          <cell r="A10" t="str">
            <v>South East</v>
          </cell>
        </row>
        <row r="11">
          <cell r="A11" t="str">
            <v>Wales</v>
          </cell>
        </row>
        <row r="12">
          <cell r="A12" t="str">
            <v>Wessex</v>
          </cell>
        </row>
        <row r="13">
          <cell r="A13" t="str">
            <v>West Midlands</v>
          </cell>
        </row>
        <row r="14">
          <cell r="A14" t="str">
            <v>Yorkshire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</sheetNames>
    <sheetDataSet>
      <sheetData sheetId="0">
        <row r="1">
          <cell r="A1" t="str">
            <v>Division Name:</v>
          </cell>
        </row>
        <row r="2">
          <cell r="A2" t="str">
            <v>Barking Riverside</v>
          </cell>
        </row>
        <row r="3">
          <cell r="A3" t="str">
            <v>East Midlands</v>
          </cell>
        </row>
        <row r="4">
          <cell r="A4" t="str">
            <v>Essex</v>
          </cell>
        </row>
        <row r="5">
          <cell r="A5" t="str">
            <v>North East</v>
          </cell>
        </row>
        <row r="6">
          <cell r="A6" t="str">
            <v>North London</v>
          </cell>
        </row>
        <row r="7">
          <cell r="A7" t="str">
            <v>North West</v>
          </cell>
        </row>
        <row r="8">
          <cell r="A8" t="str">
            <v>Northern Home Counties</v>
          </cell>
        </row>
        <row r="9">
          <cell r="A9" t="str">
            <v>Scotland</v>
          </cell>
        </row>
        <row r="10">
          <cell r="A10" t="str">
            <v>South East</v>
          </cell>
        </row>
        <row r="11">
          <cell r="A11" t="str">
            <v>Wales</v>
          </cell>
        </row>
        <row r="12">
          <cell r="A12" t="str">
            <v>Wessex</v>
          </cell>
        </row>
        <row r="13">
          <cell r="A13" t="str">
            <v>West Midlands</v>
          </cell>
        </row>
        <row r="14">
          <cell r="A14" t="str">
            <v>Yorkshire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OUND"/>
      <sheetName val="LAD2"/>
      <sheetName val="LAD1"/>
      <sheetName val="TITLE SHEET"/>
      <sheetName val="Summary"/>
      <sheetName val="800 Land"/>
      <sheetName val="100 Preliminaries "/>
      <sheetName val="200 Roads and Sewers"/>
      <sheetName val="300 Substructures"/>
      <sheetName val="400 Superstructures"/>
      <sheetName val="500 Externals"/>
      <sheetName val="600 Development Expenses "/>
      <sheetName val="700 Selling Expenses "/>
    </sheetNames>
    <sheetDataSet>
      <sheetData sheetId="0" refreshError="1"/>
      <sheetData sheetId="1" refreshError="1"/>
      <sheetData sheetId="2" refreshError="1"/>
      <sheetData sheetId="3" refreshError="1"/>
      <sheetData sheetId="4">
        <row r="74">
          <cell r="H74">
            <v>10880978.5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bstructures"/>
      <sheetName val="TITLE SHEET"/>
      <sheetName val="Qualifications"/>
      <sheetName val="Summary"/>
      <sheetName val=" Land"/>
      <sheetName val="Prelimins"/>
      <sheetName val=" Roads and Sewers"/>
      <sheetName val=" Substructures"/>
      <sheetName val=" Superstructures"/>
      <sheetName val="Externals"/>
      <sheetName val="Development Expenses"/>
      <sheetName val="Sales&amp;Marketing"/>
      <sheetName val="NHBC FEES -A"/>
      <sheetName val="NHBC INPUT - A"/>
      <sheetName val="EXT-TAKE OFF"/>
      <sheetName val="EXT-TAKE OFF REVISED"/>
      <sheetName val="FDN - TAKE OFF"/>
      <sheetName val="FDN-TAKEOFF REVISED"/>
      <sheetName val="FDN REVISED-DEC"/>
      <sheetName val="Sheet1"/>
      <sheetName val="COMPARRISON"/>
      <sheetName val="COMPARRISON-1"/>
      <sheetName val="LETTER"/>
      <sheetName val="ENCIA R+S"/>
      <sheetName val="DIF-LP-REV F"/>
      <sheetName val="DIF-LP-REV G WOODFORD REVISED"/>
      <sheetName val="DIF-LP-REV F ENCIA REVISED"/>
      <sheetName val="REVISED QUOT ENCIA-WOODFORD"/>
      <sheetName val="R&amp;S WYMAN-WOODFORD"/>
      <sheetName val="BUDGET -AGAINST COSTS"/>
      <sheetName val="Sheet 2"/>
      <sheetName val="STATUS"/>
      <sheetName val="fnd exercise for MJ1"/>
      <sheetName val="TIMB-ELAS-GROUND EXERCISE"/>
      <sheetName val="EXT TAKE OFF ELAS -TIMB"/>
      <sheetName val="COST HEAD COMPARISON"/>
      <sheetName val="Land Take"/>
      <sheetName val="Prelims"/>
      <sheetName val="NHBC FEES"/>
      <sheetName val="NHBC Input"/>
      <sheetName val="EXT - TAKE OFF"/>
      <sheetName val="STRIP FND - TAKE OFF"/>
      <sheetName val="BRICK QUANTS"/>
      <sheetName val="Cartaway"/>
      <sheetName val="Areas Take-Off,Paths,Roads"/>
      <sheetName val="APT &amp; HOUSE SIZES"/>
      <sheetName val="PIVOT DATA"/>
      <sheetName val="CPC1"/>
      <sheetName val="SCHEME COST HEAD COMPARISON"/>
      <sheetName val="TECHNICAL BULLET - VARIANCE"/>
      <sheetName val="Summary GAAP"/>
      <sheetName val="Summary Net IFRS JV"/>
      <sheetName val="Summary Net IFRS"/>
      <sheetName val="Abnormals incl OHP"/>
      <sheetName val="Land"/>
      <sheetName val="OPTIMIZED LV"/>
      <sheetName val="Abnormals"/>
      <sheetName val="SIGMA PRO FORMA"/>
      <sheetName val="Revenue &amp; Incentives Summary"/>
      <sheetName val="NSS COSTS"/>
      <sheetName val="RED BOOK 2019 TF v MODULAR"/>
      <sheetName val="Construction Prelims Cashflow"/>
      <sheetName val="Roads&amp;Sewers"/>
      <sheetName val="Refurbish Roads &amp; Footpaths"/>
      <sheetName val="GROUNDWORKER BUDGETS"/>
      <sheetName val="GROUND MODELLING"/>
      <sheetName val="DEV STRAT QUANTS"/>
      <sheetName val="Subs Abnormal Calc"/>
      <sheetName val="Supers Trades"/>
      <sheetName val="External Cladding"/>
      <sheetName val="SIGMA SPEC ITEMS"/>
      <sheetName val="SPEC UPGRADE ITEMS"/>
      <sheetName val="Landscaping"/>
      <sheetName val="gabion calculator 1m"/>
      <sheetName val="gabion calculator 2M"/>
      <sheetName val="gabion calculator 3M"/>
      <sheetName val="gabion calculator 2.5M"/>
      <sheetName val="NHBC FEES (calc only)"/>
      <sheetName val="gabion calculator 5M"/>
      <sheetName val="JV MODELLING PRINCIPLES"/>
      <sheetName val="Investor Position"/>
      <sheetName val="DEV CO CASHFLOW ISSUE EDIT"/>
      <sheetName val="CLARION JV STYLE SUMMARY"/>
      <sheetName val="CLARION JV STYLE SUMMARY EDIT"/>
      <sheetName val="FORECAST CP12A"/>
      <sheetName val="SPLIT EWB COMBINED CASHFLOW"/>
      <sheetName val="CURRENT CASHFLOW PROPOSAL"/>
      <sheetName val="Sigma Cashflow"/>
      <sheetName val="IRR CALC"/>
      <sheetName val="CASH GRAPH"/>
      <sheetName val="FUNDS GRAPH"/>
      <sheetName val="Sheet3"/>
      <sheetName val="Construction Cashflow"/>
      <sheetName val="Cons Cost Cashflow Template"/>
      <sheetName val="PRELIMS CASHFLOW"/>
      <sheetName val="REMEDIATION &amp; R&amp;S"/>
      <sheetName val="Devcost cashflow"/>
      <sheetName val="Sales Cashflow"/>
      <sheetName val="JV PARTNER ONLY POSITION"/>
      <sheetName val="CPPLC ONLY CASHFLOW"/>
      <sheetName val="DEV CO CASHFLOW"/>
      <sheetName val="DA Current vs Budget"/>
      <sheetName val="CSA input from EWB"/>
      <sheetName val="CSA"/>
    </sheetNames>
    <sheetDataSet>
      <sheetData sheetId="0" refreshError="1">
        <row r="28">
          <cell r="AM28">
            <v>0</v>
          </cell>
          <cell r="AV28" t="str">
            <v xml:space="preserve"> </v>
          </cell>
          <cell r="AY28">
            <v>0</v>
          </cell>
          <cell r="BE28">
            <v>0</v>
          </cell>
          <cell r="BH28" t="str">
            <v xml:space="preserve"> 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nd- Drawing"/>
      <sheetName val="Trial Pit Findings"/>
      <sheetName val="PC DRIVEN PILES"/>
      <sheetName val="VIBRO STONE COLUMNS"/>
      <sheetName val="VIBRO STONE COLUMNS 1"/>
      <sheetName val="VIBRO CONC COLUMNS"/>
      <sheetName val="BEAM &amp; SLAB RATES"/>
      <sheetName val="RATES"/>
      <sheetName val="SUSP-SLABS"/>
      <sheetName val="SCH-ACCOMODATION"/>
      <sheetName val="DATA"/>
      <sheetName val="SUM_OF_COST"/>
      <sheetName val="REAR GARDENS"/>
      <sheetName val="FRONT GARDENS"/>
      <sheetName val="PATHS"/>
      <sheetName val="DRIVES"/>
      <sheetName val="SHARED DRIVES"/>
      <sheetName val="LEVELS INPUT"/>
      <sheetName val="PLOT-BY-PLOT"/>
      <sheetName val="MESH_COST"/>
      <sheetName val="MESH_QTY"/>
      <sheetName val="INPU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>
        <row r="22">
          <cell r="D22">
            <v>1</v>
          </cell>
          <cell r="E22">
            <v>2</v>
          </cell>
          <cell r="F22">
            <v>3</v>
          </cell>
          <cell r="G22">
            <v>4</v>
          </cell>
          <cell r="H22">
            <v>5</v>
          </cell>
          <cell r="I22">
            <v>6</v>
          </cell>
          <cell r="J22">
            <v>7</v>
          </cell>
          <cell r="K22">
            <v>8</v>
          </cell>
          <cell r="L22">
            <v>9</v>
          </cell>
          <cell r="M22">
            <v>10</v>
          </cell>
          <cell r="N22">
            <v>11</v>
          </cell>
          <cell r="O22">
            <v>12</v>
          </cell>
          <cell r="P22">
            <v>13</v>
          </cell>
          <cell r="Q22">
            <v>14</v>
          </cell>
          <cell r="R22">
            <v>15</v>
          </cell>
          <cell r="S22">
            <v>16</v>
          </cell>
          <cell r="T22">
            <v>17</v>
          </cell>
          <cell r="U22">
            <v>18</v>
          </cell>
          <cell r="V22">
            <v>19</v>
          </cell>
          <cell r="W22">
            <v>20</v>
          </cell>
          <cell r="X22">
            <v>21</v>
          </cell>
          <cell r="Y22">
            <v>22</v>
          </cell>
          <cell r="Z22">
            <v>23</v>
          </cell>
          <cell r="AA22">
            <v>24</v>
          </cell>
          <cell r="AB22">
            <v>25</v>
          </cell>
          <cell r="AC22">
            <v>26</v>
          </cell>
          <cell r="AD22">
            <v>27</v>
          </cell>
          <cell r="AE22">
            <v>28</v>
          </cell>
          <cell r="AF22">
            <v>29</v>
          </cell>
          <cell r="AG22">
            <v>30</v>
          </cell>
          <cell r="AH22">
            <v>31</v>
          </cell>
          <cell r="AI22">
            <v>32</v>
          </cell>
          <cell r="AJ22">
            <v>33</v>
          </cell>
          <cell r="AK22">
            <v>34</v>
          </cell>
          <cell r="AL22">
            <v>35</v>
          </cell>
          <cell r="AM22">
            <v>36</v>
          </cell>
          <cell r="AN22">
            <v>37</v>
          </cell>
          <cell r="AO22">
            <v>38</v>
          </cell>
          <cell r="AP22">
            <v>39</v>
          </cell>
          <cell r="AQ22">
            <v>40</v>
          </cell>
        </row>
        <row r="23">
          <cell r="D23" t="str">
            <v>N/5/-/030</v>
          </cell>
          <cell r="F23">
            <v>6645.4501384999994</v>
          </cell>
          <cell r="G23">
            <v>7930.1818547500006</v>
          </cell>
          <cell r="H23">
            <v>9767.8414362481271</v>
          </cell>
          <cell r="I23">
            <v>513.54320849999999</v>
          </cell>
          <cell r="J23">
            <v>569.67545249999989</v>
          </cell>
          <cell r="K23">
            <v>625.80769649999979</v>
          </cell>
          <cell r="L23">
            <v>6645.4501384999994</v>
          </cell>
          <cell r="M23">
            <v>7930.1818547500006</v>
          </cell>
          <cell r="N23">
            <v>9767.8414362481271</v>
          </cell>
          <cell r="O23">
            <v>513.54320849999999</v>
          </cell>
          <cell r="P23">
            <v>569.67545249999989</v>
          </cell>
          <cell r="Q23">
            <v>625.80769649999979</v>
          </cell>
          <cell r="R23">
            <v>6645.4501384999994</v>
          </cell>
          <cell r="S23">
            <v>7930.1818547500006</v>
          </cell>
          <cell r="T23">
            <v>105.17</v>
          </cell>
          <cell r="U23">
            <v>43.53</v>
          </cell>
          <cell r="V23">
            <v>96.5</v>
          </cell>
          <cell r="W23">
            <v>110.51</v>
          </cell>
          <cell r="X23">
            <v>293.73981000000003</v>
          </cell>
          <cell r="Y23">
            <v>587.47962000000007</v>
          </cell>
          <cell r="Z23">
            <v>597.17694757140794</v>
          </cell>
          <cell r="AA23">
            <v>1194.3538951428159</v>
          </cell>
          <cell r="AB23">
            <v>271.52307000000008</v>
          </cell>
          <cell r="AC23">
            <v>280.48694913161762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151.98749999999998</v>
          </cell>
          <cell r="AK23">
            <v>157.00511260844877</v>
          </cell>
          <cell r="AL23">
            <v>14783.89</v>
          </cell>
          <cell r="AM23">
            <v>10</v>
          </cell>
          <cell r="AN23">
            <v>17.36</v>
          </cell>
          <cell r="AO23">
            <v>10.08</v>
          </cell>
          <cell r="AP23">
            <v>7.94</v>
          </cell>
        </row>
        <row r="24">
          <cell r="D24" t="str">
            <v>N/5/F/009</v>
          </cell>
          <cell r="F24">
            <v>5929.2567967499999</v>
          </cell>
          <cell r="G24">
            <v>7218.9488430000001</v>
          </cell>
          <cell r="H24">
            <v>9412.5186367393271</v>
          </cell>
          <cell r="I24">
            <v>405.72188999999997</v>
          </cell>
          <cell r="J24">
            <v>450.06884999999994</v>
          </cell>
          <cell r="K24">
            <v>494.41580999999985</v>
          </cell>
          <cell r="L24">
            <v>5929.2567967499999</v>
          </cell>
          <cell r="M24">
            <v>7218.9488430000001</v>
          </cell>
          <cell r="N24">
            <v>9412.5186367393271</v>
          </cell>
          <cell r="O24">
            <v>405.72188999999997</v>
          </cell>
          <cell r="P24">
            <v>450.06884999999994</v>
          </cell>
          <cell r="Q24">
            <v>494.41580999999985</v>
          </cell>
          <cell r="R24">
            <v>5929.2567967499999</v>
          </cell>
          <cell r="S24">
            <v>7218.9488430000001</v>
          </cell>
          <cell r="T24">
            <v>83.8</v>
          </cell>
          <cell r="U24">
            <v>47.59</v>
          </cell>
          <cell r="V24">
            <v>92.97</v>
          </cell>
          <cell r="W24">
            <v>106.49</v>
          </cell>
          <cell r="X24">
            <v>234.05340000000001</v>
          </cell>
          <cell r="Y24">
            <v>468.10680000000002</v>
          </cell>
          <cell r="Z24">
            <v>475.83368076907846</v>
          </cell>
          <cell r="AA24">
            <v>951.66736153815691</v>
          </cell>
          <cell r="AB24">
            <v>261.64593000000002</v>
          </cell>
          <cell r="AC24">
            <v>270.28373190684965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146.42775</v>
          </cell>
          <cell r="AK24">
            <v>151.26181677935216</v>
          </cell>
          <cell r="AL24">
            <v>12958.88</v>
          </cell>
          <cell r="AM24">
            <v>10</v>
          </cell>
          <cell r="AN24">
            <v>16.989999999999998</v>
          </cell>
          <cell r="AO24">
            <v>11.36</v>
          </cell>
          <cell r="AP24">
            <v>2.3000000000000003</v>
          </cell>
        </row>
        <row r="25">
          <cell r="D25" t="str">
            <v>N/5/-/032</v>
          </cell>
          <cell r="F25">
            <v>10139.33959125</v>
          </cell>
          <cell r="G25">
            <v>12203.089169999999</v>
          </cell>
          <cell r="H25">
            <v>14323.397925472889</v>
          </cell>
          <cell r="I25">
            <v>801.56701799999996</v>
          </cell>
          <cell r="J25">
            <v>889.1813699999999</v>
          </cell>
          <cell r="K25">
            <v>976.79572199999984</v>
          </cell>
          <cell r="L25">
            <v>10139.33959125</v>
          </cell>
          <cell r="M25">
            <v>12203.089169999999</v>
          </cell>
          <cell r="N25">
            <v>14323.397925472889</v>
          </cell>
          <cell r="O25">
            <v>801.56701799999996</v>
          </cell>
          <cell r="P25">
            <v>889.1813699999999</v>
          </cell>
          <cell r="Q25">
            <v>976.79572199999984</v>
          </cell>
          <cell r="R25">
            <v>10139.33959125</v>
          </cell>
          <cell r="S25">
            <v>12203.089169999999</v>
          </cell>
          <cell r="T25">
            <v>165.56</v>
          </cell>
          <cell r="U25">
            <v>62.95</v>
          </cell>
          <cell r="V25">
            <v>143.31</v>
          </cell>
          <cell r="W25">
            <v>162.05000000000001</v>
          </cell>
          <cell r="X25">
            <v>462.40908000000002</v>
          </cell>
          <cell r="Y25">
            <v>924.81816000000003</v>
          </cell>
          <cell r="Z25">
            <v>940.08382086072345</v>
          </cell>
          <cell r="AA25">
            <v>1880.1676417214469</v>
          </cell>
          <cell r="AB25">
            <v>398.15685000000008</v>
          </cell>
          <cell r="AC25">
            <v>411.30133116259731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225.71324999999999</v>
          </cell>
          <cell r="AK25">
            <v>233.16479469343824</v>
          </cell>
          <cell r="AL25">
            <v>22867.9</v>
          </cell>
          <cell r="AM25">
            <v>19</v>
          </cell>
          <cell r="AN25">
            <v>26.400000000000002</v>
          </cell>
          <cell r="AO25">
            <v>11.45</v>
          </cell>
          <cell r="AP25">
            <v>2.3000000000000003</v>
          </cell>
        </row>
        <row r="26">
          <cell r="D26" t="str">
            <v>N/5/D/015</v>
          </cell>
          <cell r="F26">
            <v>9355.7340249999997</v>
          </cell>
          <cell r="G26">
            <v>11180.491779999998</v>
          </cell>
          <cell r="H26">
            <v>13366.147696945451</v>
          </cell>
          <cell r="I26">
            <v>724.68320400000005</v>
          </cell>
          <cell r="J26">
            <v>803.8938599999999</v>
          </cell>
          <cell r="K26">
            <v>883.10451599999988</v>
          </cell>
          <cell r="L26">
            <v>9355.7340249999997</v>
          </cell>
          <cell r="M26">
            <v>11180.491779999998</v>
          </cell>
          <cell r="N26">
            <v>13366.147696945451</v>
          </cell>
          <cell r="O26">
            <v>724.68320400000005</v>
          </cell>
          <cell r="P26">
            <v>803.8938599999999</v>
          </cell>
          <cell r="Q26">
            <v>883.10451599999988</v>
          </cell>
          <cell r="R26">
            <v>9355.7340249999997</v>
          </cell>
          <cell r="S26">
            <v>11180.491779999998</v>
          </cell>
          <cell r="T26">
            <v>149.68</v>
          </cell>
          <cell r="U26">
            <v>60.2</v>
          </cell>
          <cell r="V26">
            <v>132.63999999999999</v>
          </cell>
          <cell r="W26">
            <v>151.22</v>
          </cell>
          <cell r="X26">
            <v>418.05624000000006</v>
          </cell>
          <cell r="Y26">
            <v>836.11248000000012</v>
          </cell>
          <cell r="Z26">
            <v>849.91390617560455</v>
          </cell>
          <cell r="AA26">
            <v>1699.8278123512091</v>
          </cell>
          <cell r="AB26">
            <v>371.54754000000003</v>
          </cell>
          <cell r="AC26">
            <v>383.81355938542396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208.90799999999996</v>
          </cell>
          <cell r="AK26">
            <v>215.80474752730197</v>
          </cell>
          <cell r="AL26">
            <v>20745.559999999998</v>
          </cell>
          <cell r="AM26">
            <v>10</v>
          </cell>
          <cell r="AN26">
            <v>23.2</v>
          </cell>
          <cell r="AO26">
            <v>13.25</v>
          </cell>
          <cell r="AP26">
            <v>7.3</v>
          </cell>
        </row>
        <row r="27">
          <cell r="D27" t="str">
            <v>N/5/A/008</v>
          </cell>
          <cell r="F27">
            <v>6257.0273849999994</v>
          </cell>
          <cell r="G27">
            <v>7467.1593272499995</v>
          </cell>
          <cell r="H27">
            <v>8700.1052625997945</v>
          </cell>
          <cell r="I27">
            <v>469.19461049999995</v>
          </cell>
          <cell r="J27">
            <v>520.47938249999993</v>
          </cell>
          <cell r="K27">
            <v>571.7641544999999</v>
          </cell>
          <cell r="L27">
            <v>6257.0273849999994</v>
          </cell>
          <cell r="M27">
            <v>7467.1593272499995</v>
          </cell>
          <cell r="N27">
            <v>8700.1052625997945</v>
          </cell>
          <cell r="O27">
            <v>469.19461049999995</v>
          </cell>
          <cell r="P27">
            <v>520.47938249999993</v>
          </cell>
          <cell r="Q27">
            <v>571.7641544999999</v>
          </cell>
          <cell r="R27">
            <v>6257.0273849999994</v>
          </cell>
          <cell r="S27">
            <v>7467.1593272499995</v>
          </cell>
          <cell r="T27">
            <v>96.91</v>
          </cell>
          <cell r="U27">
            <v>48.65</v>
          </cell>
          <cell r="V27">
            <v>88.98</v>
          </cell>
          <cell r="W27">
            <v>98.43</v>
          </cell>
          <cell r="X27">
            <v>270.66962999999998</v>
          </cell>
          <cell r="Y27">
            <v>541.33925999999997</v>
          </cell>
          <cell r="Z27">
            <v>550.27496424023138</v>
          </cell>
          <cell r="AA27">
            <v>1100.5499284804628</v>
          </cell>
          <cell r="AB27">
            <v>241.84251000000006</v>
          </cell>
          <cell r="AC27">
            <v>249.82653518256376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140.14349999999999</v>
          </cell>
          <cell r="AK27">
            <v>144.77010279688881</v>
          </cell>
          <cell r="AL27">
            <v>13631.09</v>
          </cell>
          <cell r="AM27">
            <v>10</v>
          </cell>
          <cell r="AN27">
            <v>16.149999999999999</v>
          </cell>
          <cell r="AO27">
            <v>11.13</v>
          </cell>
          <cell r="AP27">
            <v>2.3000000000000003</v>
          </cell>
        </row>
        <row r="28">
          <cell r="D28" t="str">
            <v>N/5/E/009</v>
          </cell>
          <cell r="F28">
            <v>5929.2567967499999</v>
          </cell>
          <cell r="G28">
            <v>7218.9488430000001</v>
          </cell>
          <cell r="H28">
            <v>9412.5186367393271</v>
          </cell>
          <cell r="I28">
            <v>405.72188999999997</v>
          </cell>
          <cell r="J28">
            <v>450.06884999999994</v>
          </cell>
          <cell r="K28">
            <v>494.41580999999985</v>
          </cell>
          <cell r="L28">
            <v>5929.2567967499999</v>
          </cell>
          <cell r="M28">
            <v>7218.9488430000001</v>
          </cell>
          <cell r="N28">
            <v>9412.5186367393271</v>
          </cell>
          <cell r="O28">
            <v>405.72188999999997</v>
          </cell>
          <cell r="P28">
            <v>450.06884999999994</v>
          </cell>
          <cell r="Q28">
            <v>494.41580999999985</v>
          </cell>
          <cell r="R28">
            <v>5929.2567967499999</v>
          </cell>
          <cell r="S28">
            <v>7218.9488430000001</v>
          </cell>
          <cell r="T28">
            <v>83.8</v>
          </cell>
          <cell r="U28">
            <v>47.59</v>
          </cell>
          <cell r="V28">
            <v>92.97</v>
          </cell>
          <cell r="W28">
            <v>106.49</v>
          </cell>
          <cell r="X28">
            <v>234.05340000000001</v>
          </cell>
          <cell r="Y28">
            <v>468.10680000000002</v>
          </cell>
          <cell r="Z28">
            <v>475.83368076907846</v>
          </cell>
          <cell r="AA28">
            <v>951.66736153815691</v>
          </cell>
          <cell r="AB28">
            <v>261.64593000000002</v>
          </cell>
          <cell r="AC28">
            <v>270.28373190684965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146.42775</v>
          </cell>
          <cell r="AK28">
            <v>151.26181677935216</v>
          </cell>
          <cell r="AL28">
            <v>12958.88</v>
          </cell>
          <cell r="AM28">
            <v>10</v>
          </cell>
          <cell r="AN28">
            <v>16.989999999999998</v>
          </cell>
          <cell r="AO28">
            <v>11.36</v>
          </cell>
          <cell r="AP28">
            <v>2.3000000000000003</v>
          </cell>
        </row>
        <row r="29">
          <cell r="D29" t="str">
            <v>N/5/-/031</v>
          </cell>
          <cell r="F29">
            <v>8721.1390510000001</v>
          </cell>
          <cell r="G29">
            <v>10476.163173500001</v>
          </cell>
          <cell r="H29">
            <v>12747.426404268435</v>
          </cell>
          <cell r="I29">
            <v>685.22457150000002</v>
          </cell>
          <cell r="J29">
            <v>760.12224749999984</v>
          </cell>
          <cell r="K29">
            <v>835.01992349999978</v>
          </cell>
          <cell r="L29">
            <v>8721.1390510000001</v>
          </cell>
          <cell r="M29">
            <v>10476.163173500001</v>
          </cell>
          <cell r="N29">
            <v>12747.426404268435</v>
          </cell>
          <cell r="O29">
            <v>685.22457150000002</v>
          </cell>
          <cell r="P29">
            <v>760.12224749999984</v>
          </cell>
          <cell r="Q29">
            <v>835.01992349999978</v>
          </cell>
          <cell r="R29">
            <v>8721.1390510000001</v>
          </cell>
          <cell r="S29">
            <v>10476.163173500001</v>
          </cell>
          <cell r="T29">
            <v>141.53</v>
          </cell>
          <cell r="U29">
            <v>52.73</v>
          </cell>
          <cell r="V29">
            <v>127.96</v>
          </cell>
          <cell r="W29">
            <v>144.22</v>
          </cell>
          <cell r="X29">
            <v>395.29329000000001</v>
          </cell>
          <cell r="Y29">
            <v>790.58658000000003</v>
          </cell>
          <cell r="Z29">
            <v>803.63652552801523</v>
          </cell>
          <cell r="AA29">
            <v>1607.2730510560305</v>
          </cell>
          <cell r="AB29">
            <v>354.34854000000001</v>
          </cell>
          <cell r="AC29">
            <v>366.04676322289276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201.53699999999998</v>
          </cell>
          <cell r="AK29">
            <v>208.19040631478865</v>
          </cell>
          <cell r="AL29">
            <v>19727.29</v>
          </cell>
          <cell r="AM29">
            <v>17</v>
          </cell>
          <cell r="AN29">
            <v>23.740000000000002</v>
          </cell>
          <cell r="AO29">
            <v>11.44</v>
          </cell>
          <cell r="AP29" t="str">
            <v>N/A</v>
          </cell>
        </row>
        <row r="30">
          <cell r="D30" t="str">
            <v>N/4/-/019S</v>
          </cell>
          <cell r="F30">
            <v>4333.5426647499999</v>
          </cell>
          <cell r="G30">
            <v>5284.1444197500005</v>
          </cell>
          <cell r="H30">
            <v>8565.7543533327844</v>
          </cell>
          <cell r="I30">
            <v>298.67521950000003</v>
          </cell>
          <cell r="J30">
            <v>331.32156749999996</v>
          </cell>
          <cell r="K30">
            <v>363.96791549999995</v>
          </cell>
          <cell r="L30">
            <v>4333.5426647499999</v>
          </cell>
          <cell r="M30">
            <v>5284.1444197500005</v>
          </cell>
          <cell r="N30">
            <v>8565.7543533327844</v>
          </cell>
          <cell r="O30">
            <v>298.67521950000003</v>
          </cell>
          <cell r="P30">
            <v>331.32156749999996</v>
          </cell>
          <cell r="Q30">
            <v>363.96791549999995</v>
          </cell>
          <cell r="R30">
            <v>4333.5426647499999</v>
          </cell>
          <cell r="S30">
            <v>5284.1444197500005</v>
          </cell>
          <cell r="T30">
            <v>61.690000000000005</v>
          </cell>
          <cell r="U30">
            <v>30.78</v>
          </cell>
          <cell r="V30">
            <v>66.16</v>
          </cell>
          <cell r="W30">
            <v>96.91</v>
          </cell>
          <cell r="X30">
            <v>172.30017000000004</v>
          </cell>
          <cell r="Y30">
            <v>344.60034000000007</v>
          </cell>
          <cell r="Z30">
            <v>350.28854136807223</v>
          </cell>
          <cell r="AA30">
            <v>700.57708273614446</v>
          </cell>
          <cell r="AB30">
            <v>238.10787000000005</v>
          </cell>
          <cell r="AC30">
            <v>245.96860230155698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104.202</v>
          </cell>
          <cell r="AK30">
            <v>107.64205440595825</v>
          </cell>
          <cell r="AL30">
            <v>9422.93</v>
          </cell>
          <cell r="AM30">
            <v>15</v>
          </cell>
          <cell r="AN30">
            <v>16.32</v>
          </cell>
          <cell r="AO30">
            <v>13.313000000000001</v>
          </cell>
          <cell r="AP30">
            <v>8.9499999999999993</v>
          </cell>
        </row>
        <row r="31">
          <cell r="D31" t="str">
            <v>N/3/-/004S</v>
          </cell>
          <cell r="F31">
            <v>4366.0904915000001</v>
          </cell>
          <cell r="G31">
            <v>5561.4562114999999</v>
          </cell>
          <cell r="H31">
            <v>8338.5952501642241</v>
          </cell>
          <cell r="I31">
            <v>239.99563350000003</v>
          </cell>
          <cell r="J31">
            <v>266.22807749999998</v>
          </cell>
          <cell r="K31">
            <v>292.46052149999997</v>
          </cell>
          <cell r="L31">
            <v>4366.0904915000001</v>
          </cell>
          <cell r="M31">
            <v>5561.4562114999999</v>
          </cell>
          <cell r="N31">
            <v>8338.5952501642241</v>
          </cell>
          <cell r="O31">
            <v>239.99563350000003</v>
          </cell>
          <cell r="P31">
            <v>266.22807749999998</v>
          </cell>
          <cell r="Q31">
            <v>292.46052149999997</v>
          </cell>
          <cell r="R31">
            <v>4366.0904915000001</v>
          </cell>
          <cell r="S31">
            <v>5561.4562114999999</v>
          </cell>
          <cell r="T31">
            <v>49.570000000000007</v>
          </cell>
          <cell r="U31">
            <v>29.17</v>
          </cell>
          <cell r="V31">
            <v>80.03</v>
          </cell>
          <cell r="W31">
            <v>94.34</v>
          </cell>
          <cell r="X31">
            <v>138.44901000000002</v>
          </cell>
          <cell r="Y31">
            <v>276.89802000000003</v>
          </cell>
          <cell r="Z31">
            <v>281.46868204920304</v>
          </cell>
          <cell r="AA31">
            <v>562.93736409840608</v>
          </cell>
          <cell r="AB31">
            <v>231.79338000000001</v>
          </cell>
          <cell r="AC31">
            <v>239.44564999617046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126.04724999999999</v>
          </cell>
          <cell r="AK31">
            <v>130.20848872594979</v>
          </cell>
          <cell r="AL31">
            <v>9573.41</v>
          </cell>
          <cell r="AM31">
            <v>15</v>
          </cell>
          <cell r="AN31">
            <v>15.991999999999997</v>
          </cell>
          <cell r="AO31">
            <v>12.4</v>
          </cell>
          <cell r="AP31">
            <v>2.3000000000000003</v>
          </cell>
        </row>
        <row r="32">
          <cell r="D32" t="str">
            <v>N/3/-/004D</v>
          </cell>
          <cell r="F32">
            <v>4627.6977275000008</v>
          </cell>
          <cell r="G32">
            <v>5794.8170600000003</v>
          </cell>
          <cell r="H32">
            <v>8481.7850350409026</v>
          </cell>
          <cell r="I32">
            <v>259.50708000000003</v>
          </cell>
          <cell r="J32">
            <v>287.87220000000002</v>
          </cell>
          <cell r="K32">
            <v>316.23731999999995</v>
          </cell>
          <cell r="L32">
            <v>4627.6977275000008</v>
          </cell>
          <cell r="M32">
            <v>5794.8170600000003</v>
          </cell>
          <cell r="N32">
            <v>8481.7850350409026</v>
          </cell>
          <cell r="O32">
            <v>259.50708000000003</v>
          </cell>
          <cell r="P32">
            <v>287.87220000000002</v>
          </cell>
          <cell r="Q32">
            <v>316.23731999999995</v>
          </cell>
          <cell r="R32">
            <v>4627.6977275000008</v>
          </cell>
          <cell r="S32">
            <v>5794.8170600000003</v>
          </cell>
          <cell r="T32">
            <v>53.600000000000009</v>
          </cell>
          <cell r="U32">
            <v>39.200000000000003</v>
          </cell>
          <cell r="V32">
            <v>80.03</v>
          </cell>
          <cell r="W32">
            <v>95.96</v>
          </cell>
          <cell r="X32">
            <v>149.70480000000003</v>
          </cell>
          <cell r="Y32">
            <v>299.40960000000007</v>
          </cell>
          <cell r="Z32">
            <v>304.35185309334855</v>
          </cell>
          <cell r="AA32">
            <v>608.7037061866971</v>
          </cell>
          <cell r="AB32">
            <v>235.77372000000003</v>
          </cell>
          <cell r="AC32">
            <v>243.55739425092773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126.04724999999999</v>
          </cell>
          <cell r="AK32">
            <v>130.20848872594979</v>
          </cell>
          <cell r="AL32">
            <v>9883.7200000000012</v>
          </cell>
          <cell r="AM32">
            <v>15</v>
          </cell>
          <cell r="AN32">
            <v>16.131999999999998</v>
          </cell>
          <cell r="AO32">
            <v>12.4</v>
          </cell>
          <cell r="AP32">
            <v>2.3000000000000003</v>
          </cell>
        </row>
        <row r="33">
          <cell r="D33" t="str">
            <v>G10</v>
          </cell>
          <cell r="F33">
            <v>5287.112556</v>
          </cell>
          <cell r="G33">
            <v>6584.7491785000002</v>
          </cell>
          <cell r="H33">
            <v>9472.6229908850946</v>
          </cell>
          <cell r="I33">
            <v>340.02205650000002</v>
          </cell>
          <cell r="J33">
            <v>377.18777249999999</v>
          </cell>
          <cell r="K33">
            <v>414.35348849999991</v>
          </cell>
          <cell r="L33">
            <v>5287.112556</v>
          </cell>
          <cell r="M33">
            <v>6584.7491785000002</v>
          </cell>
          <cell r="N33">
            <v>9472.6229908850946</v>
          </cell>
          <cell r="O33">
            <v>340.02205650000002</v>
          </cell>
          <cell r="P33">
            <v>377.18777249999999</v>
          </cell>
          <cell r="Q33">
            <v>414.35348849999991</v>
          </cell>
          <cell r="R33">
            <v>5287.112556</v>
          </cell>
          <cell r="S33">
            <v>6584.7491785000002</v>
          </cell>
          <cell r="T33">
            <v>70.23</v>
          </cell>
          <cell r="U33">
            <v>44.63</v>
          </cell>
          <cell r="V33">
            <v>90.42</v>
          </cell>
          <cell r="W33">
            <v>107.17</v>
          </cell>
          <cell r="X33">
            <v>196.15239000000003</v>
          </cell>
          <cell r="Y33">
            <v>392.30478000000005</v>
          </cell>
          <cell r="Z33">
            <v>398.7804224392886</v>
          </cell>
          <cell r="AA33">
            <v>797.5608448785772</v>
          </cell>
          <cell r="AB33">
            <v>263.31669000000005</v>
          </cell>
          <cell r="AC33">
            <v>272.00964924835267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142.41149999999999</v>
          </cell>
          <cell r="AK33">
            <v>147.11297701612369</v>
          </cell>
          <cell r="AL33">
            <v>11796.51</v>
          </cell>
          <cell r="AM33">
            <v>18</v>
          </cell>
          <cell r="AN33">
            <v>24.7</v>
          </cell>
          <cell r="AO33">
            <v>9.5</v>
          </cell>
          <cell r="AP33" t="str">
            <v>N/A</v>
          </cell>
        </row>
        <row r="34">
          <cell r="D34" t="str">
            <v>N/3/-/001</v>
          </cell>
          <cell r="F34">
            <v>4026.2545144999999</v>
          </cell>
          <cell r="G34">
            <v>4982.1863140000005</v>
          </cell>
          <cell r="H34">
            <v>6610.5950684734189</v>
          </cell>
          <cell r="I34">
            <v>255.77908649999998</v>
          </cell>
          <cell r="J34">
            <v>283.73672249999993</v>
          </cell>
          <cell r="K34">
            <v>311.69435849999991</v>
          </cell>
          <cell r="L34">
            <v>4026.2545144999999</v>
          </cell>
          <cell r="M34">
            <v>4982.1863140000005</v>
          </cell>
          <cell r="N34">
            <v>6610.5950684734189</v>
          </cell>
          <cell r="O34">
            <v>255.77908649999998</v>
          </cell>
          <cell r="P34">
            <v>283.73672249999993</v>
          </cell>
          <cell r="Q34">
            <v>311.69435849999991</v>
          </cell>
          <cell r="R34">
            <v>4026.2545144999999</v>
          </cell>
          <cell r="S34">
            <v>4982.1863140000005</v>
          </cell>
          <cell r="T34">
            <v>52.83</v>
          </cell>
          <cell r="U34">
            <v>30.909999999999997</v>
          </cell>
          <cell r="V34">
            <v>65</v>
          </cell>
          <cell r="W34">
            <v>74.790000000000006</v>
          </cell>
          <cell r="X34">
            <v>147.55419000000001</v>
          </cell>
          <cell r="Y34">
            <v>295.10838000000001</v>
          </cell>
          <cell r="Z34">
            <v>299.97963430823881</v>
          </cell>
          <cell r="AA34">
            <v>599.95926861647763</v>
          </cell>
          <cell r="AB34">
            <v>183.75903000000002</v>
          </cell>
          <cell r="AC34">
            <v>189.82552642795835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102.375</v>
          </cell>
          <cell r="AK34">
            <v>105.7547390626857</v>
          </cell>
          <cell r="AL34">
            <v>8712.33</v>
          </cell>
          <cell r="AM34">
            <v>15</v>
          </cell>
          <cell r="AN34">
            <v>10</v>
          </cell>
          <cell r="AO34">
            <v>9.9930000000000003</v>
          </cell>
          <cell r="AP34">
            <v>7.4</v>
          </cell>
        </row>
        <row r="35">
          <cell r="D35" t="str">
            <v>N/3/-/005S</v>
          </cell>
          <cell r="F35">
            <v>3060.5609034999998</v>
          </cell>
          <cell r="G35">
            <v>3780.2880410000002</v>
          </cell>
          <cell r="H35">
            <v>5260.898762876559</v>
          </cell>
          <cell r="I35">
            <v>164.27379149999999</v>
          </cell>
          <cell r="J35">
            <v>182.22954749999997</v>
          </cell>
          <cell r="K35">
            <v>200.18530349999995</v>
          </cell>
          <cell r="L35">
            <v>3060.5609034999998</v>
          </cell>
          <cell r="M35">
            <v>3780.2880410000002</v>
          </cell>
          <cell r="N35">
            <v>5260.898762876559</v>
          </cell>
          <cell r="O35">
            <v>164.27379149999999</v>
          </cell>
          <cell r="P35">
            <v>182.22954749999997</v>
          </cell>
          <cell r="Q35">
            <v>200.18530349999995</v>
          </cell>
          <cell r="R35">
            <v>3060.5609034999998</v>
          </cell>
          <cell r="S35">
            <v>3780.2880410000002</v>
          </cell>
          <cell r="T35">
            <v>33.93</v>
          </cell>
          <cell r="U35">
            <v>24.18</v>
          </cell>
          <cell r="V35">
            <v>50.32</v>
          </cell>
          <cell r="W35">
            <v>59.52</v>
          </cell>
          <cell r="X35">
            <v>94.766490000000005</v>
          </cell>
          <cell r="Y35">
            <v>189.53298000000001</v>
          </cell>
          <cell r="Z35">
            <v>192.6615368555469</v>
          </cell>
          <cell r="AA35">
            <v>385.3230737110938</v>
          </cell>
          <cell r="AB35">
            <v>146.24064000000004</v>
          </cell>
          <cell r="AC35">
            <v>151.06852965626533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79.254000000000005</v>
          </cell>
          <cell r="AK35">
            <v>81.870437994374541</v>
          </cell>
          <cell r="AL35">
            <v>6208.9500000000007</v>
          </cell>
          <cell r="AM35">
            <v>10</v>
          </cell>
          <cell r="AN35">
            <v>8.92</v>
          </cell>
          <cell r="AO35">
            <v>8.06</v>
          </cell>
          <cell r="AP35">
            <v>6.14</v>
          </cell>
        </row>
        <row r="36">
          <cell r="D36" t="str">
            <v>N/4/-/003</v>
          </cell>
          <cell r="F36">
            <v>4206.6932919999999</v>
          </cell>
          <cell r="G36">
            <v>5135.6332825000009</v>
          </cell>
          <cell r="H36">
            <v>8652.3753343075659</v>
          </cell>
          <cell r="I36">
            <v>299.6435295</v>
          </cell>
          <cell r="J36">
            <v>332.39571749999993</v>
          </cell>
          <cell r="K36">
            <v>365.14790549999992</v>
          </cell>
          <cell r="L36">
            <v>4206.6932919999999</v>
          </cell>
          <cell r="M36">
            <v>5135.6332825000009</v>
          </cell>
          <cell r="N36">
            <v>8652.3753343075659</v>
          </cell>
          <cell r="O36">
            <v>299.6435295</v>
          </cell>
          <cell r="P36">
            <v>332.39571749999993</v>
          </cell>
          <cell r="Q36">
            <v>365.14790549999992</v>
          </cell>
          <cell r="R36">
            <v>4206.6932919999999</v>
          </cell>
          <cell r="S36">
            <v>5135.6332825000009</v>
          </cell>
          <cell r="T36">
            <v>61.89</v>
          </cell>
          <cell r="U36">
            <v>11.46</v>
          </cell>
          <cell r="V36">
            <v>61.72</v>
          </cell>
          <cell r="W36">
            <v>97.89</v>
          </cell>
          <cell r="X36">
            <v>172.85877000000002</v>
          </cell>
          <cell r="Y36">
            <v>345.71754000000004</v>
          </cell>
          <cell r="Z36">
            <v>351.42418261095781</v>
          </cell>
          <cell r="AA36">
            <v>702.84836522191563</v>
          </cell>
          <cell r="AB36">
            <v>240.51573000000005</v>
          </cell>
          <cell r="AC36">
            <v>248.45595376431132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97.208999999999989</v>
          </cell>
          <cell r="AK36">
            <v>100.418192229984</v>
          </cell>
          <cell r="AL36">
            <v>9110.9700000000012</v>
          </cell>
          <cell r="AM36">
            <v>15</v>
          </cell>
          <cell r="AN36">
            <v>14.27</v>
          </cell>
          <cell r="AO36">
            <v>8.94</v>
          </cell>
          <cell r="AP36" t="str">
            <v>N/A</v>
          </cell>
        </row>
        <row r="37">
          <cell r="D37" t="str">
            <v>N/3/A/003</v>
          </cell>
          <cell r="F37">
            <v>3709.7403570000001</v>
          </cell>
          <cell r="G37">
            <v>4470.9468639999996</v>
          </cell>
          <cell r="H37">
            <v>5785.044086530087</v>
          </cell>
          <cell r="I37">
            <v>235.44457649999995</v>
          </cell>
          <cell r="J37">
            <v>261.17957249999995</v>
          </cell>
          <cell r="K37">
            <v>286.91456849999992</v>
          </cell>
          <cell r="L37">
            <v>3709.7403570000001</v>
          </cell>
          <cell r="M37">
            <v>4470.9468639999996</v>
          </cell>
          <cell r="N37">
            <v>5785.044086530087</v>
          </cell>
          <cell r="O37">
            <v>235.44457649999995</v>
          </cell>
          <cell r="P37">
            <v>261.17957249999995</v>
          </cell>
          <cell r="Q37">
            <v>286.91456849999992</v>
          </cell>
          <cell r="R37">
            <v>3709.7403570000001</v>
          </cell>
          <cell r="S37">
            <v>4470.9468639999996</v>
          </cell>
          <cell r="T37">
            <v>48.629999999999995</v>
          </cell>
          <cell r="U37">
            <v>32.36</v>
          </cell>
          <cell r="V37">
            <v>56.7</v>
          </cell>
          <cell r="W37">
            <v>65.45</v>
          </cell>
          <cell r="X37">
            <v>135.82359</v>
          </cell>
          <cell r="Y37">
            <v>271.64717999999999</v>
          </cell>
          <cell r="Z37">
            <v>276.1311682076406</v>
          </cell>
          <cell r="AA37">
            <v>552.2623364152812</v>
          </cell>
          <cell r="AB37">
            <v>160.81065000000004</v>
          </cell>
          <cell r="AC37">
            <v>166.11954411966673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89.302499999999995</v>
          </cell>
          <cell r="AK37">
            <v>92.250672382373523</v>
          </cell>
          <cell r="AL37">
            <v>7688.01</v>
          </cell>
          <cell r="AM37">
            <v>10</v>
          </cell>
          <cell r="AN37">
            <v>11.84</v>
          </cell>
          <cell r="AO37">
            <v>8.09</v>
          </cell>
          <cell r="AP37">
            <v>8.3000000000000007</v>
          </cell>
        </row>
        <row r="38">
          <cell r="D38" t="str">
            <v>N/4/-/021</v>
          </cell>
          <cell r="F38">
            <v>4649.4896090000002</v>
          </cell>
          <cell r="G38">
            <v>5660.5797215000002</v>
          </cell>
          <cell r="H38">
            <v>7395.4872226122598</v>
          </cell>
          <cell r="I38">
            <v>304.14617099999998</v>
          </cell>
          <cell r="J38">
            <v>337.39051499999994</v>
          </cell>
          <cell r="K38">
            <v>370.63485899999989</v>
          </cell>
          <cell r="L38">
            <v>4649.4896090000002</v>
          </cell>
          <cell r="M38">
            <v>5660.5797215000002</v>
          </cell>
          <cell r="N38">
            <v>7395.4872226122598</v>
          </cell>
          <cell r="O38">
            <v>304.14617099999998</v>
          </cell>
          <cell r="P38">
            <v>337.39051499999994</v>
          </cell>
          <cell r="Q38">
            <v>370.63485899999989</v>
          </cell>
          <cell r="R38">
            <v>4649.4896090000002</v>
          </cell>
          <cell r="S38">
            <v>5660.5797215000002</v>
          </cell>
          <cell r="T38">
            <v>62.82</v>
          </cell>
          <cell r="U38">
            <v>41.82</v>
          </cell>
          <cell r="V38">
            <v>72.739999999999995</v>
          </cell>
          <cell r="W38">
            <v>83.67</v>
          </cell>
          <cell r="X38">
            <v>175.45626000000001</v>
          </cell>
          <cell r="Y38">
            <v>350.91252000000003</v>
          </cell>
          <cell r="Z38">
            <v>356.70491439037596</v>
          </cell>
          <cell r="AA38">
            <v>713.40982878075192</v>
          </cell>
          <cell r="AB38">
            <v>205.57719</v>
          </cell>
          <cell r="AC38">
            <v>212.3639764169979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114.56549999999999</v>
          </cell>
          <cell r="AK38">
            <v>118.34768799107317</v>
          </cell>
          <cell r="AL38">
            <v>9946.2000000000007</v>
          </cell>
          <cell r="AM38">
            <v>15</v>
          </cell>
          <cell r="AN38">
            <v>13.414999999999999</v>
          </cell>
          <cell r="AO38">
            <v>10.565000000000001</v>
          </cell>
          <cell r="AP38" t="str">
            <v>N/A</v>
          </cell>
        </row>
        <row r="39">
          <cell r="D39" t="str">
            <v>N/4/-/020</v>
          </cell>
          <cell r="F39">
            <v>6165.5722434999998</v>
          </cell>
          <cell r="G39">
            <v>7315.74117725</v>
          </cell>
          <cell r="H39">
            <v>8518.0244250405576</v>
          </cell>
          <cell r="I39">
            <v>503.32753799999995</v>
          </cell>
          <cell r="J39">
            <v>558.34316999999987</v>
          </cell>
          <cell r="K39">
            <v>613.35880199999986</v>
          </cell>
          <cell r="L39">
            <v>6165.5722434999998</v>
          </cell>
          <cell r="M39">
            <v>7315.74117725</v>
          </cell>
          <cell r="N39">
            <v>8518.0244250405576</v>
          </cell>
          <cell r="O39">
            <v>503.32753799999995</v>
          </cell>
          <cell r="P39">
            <v>558.34316999999987</v>
          </cell>
          <cell r="Q39">
            <v>613.35880199999986</v>
          </cell>
          <cell r="R39">
            <v>6165.5722434999998</v>
          </cell>
          <cell r="S39">
            <v>7315.74117725</v>
          </cell>
          <cell r="T39">
            <v>103.96</v>
          </cell>
          <cell r="U39">
            <v>35.08</v>
          </cell>
          <cell r="V39">
            <v>80.98</v>
          </cell>
          <cell r="W39">
            <v>96.37</v>
          </cell>
          <cell r="X39">
            <v>290.36027999999999</v>
          </cell>
          <cell r="Y39">
            <v>580.72055999999998</v>
          </cell>
          <cell r="Z39">
            <v>590.3063180519498</v>
          </cell>
          <cell r="AA39">
            <v>1180.6126361038996</v>
          </cell>
          <cell r="AB39">
            <v>236.78109000000003</v>
          </cell>
          <cell r="AC39">
            <v>244.59802088330454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127.54350000000001</v>
          </cell>
          <cell r="AK39">
            <v>131.75413491225061</v>
          </cell>
          <cell r="AL39">
            <v>13666.4</v>
          </cell>
          <cell r="AM39">
            <v>15</v>
          </cell>
          <cell r="AN39">
            <v>13.816000000000001</v>
          </cell>
          <cell r="AO39">
            <v>10.565</v>
          </cell>
          <cell r="AP39">
            <v>8.3000000000000007</v>
          </cell>
        </row>
        <row r="40">
          <cell r="D40" t="str">
            <v>N/4/-/022</v>
          </cell>
          <cell r="F40">
            <v>6007.0583865000008</v>
          </cell>
          <cell r="G40">
            <v>7135.7875177500009</v>
          </cell>
          <cell r="H40">
            <v>10388.330504047077</v>
          </cell>
          <cell r="I40">
            <v>457.86538349999995</v>
          </cell>
          <cell r="J40">
            <v>507.9118274999999</v>
          </cell>
          <cell r="K40">
            <v>557.9582714999998</v>
          </cell>
          <cell r="L40">
            <v>6007.0583865000008</v>
          </cell>
          <cell r="M40">
            <v>7135.7875177500009</v>
          </cell>
          <cell r="N40">
            <v>10388.330504047077</v>
          </cell>
          <cell r="O40">
            <v>457.86538349999995</v>
          </cell>
          <cell r="P40">
            <v>507.9118274999999</v>
          </cell>
          <cell r="Q40">
            <v>557.9582714999998</v>
          </cell>
          <cell r="R40">
            <v>6007.0583865000008</v>
          </cell>
          <cell r="S40">
            <v>7135.7875177500009</v>
          </cell>
          <cell r="T40">
            <v>94.57</v>
          </cell>
          <cell r="U40">
            <v>45.22</v>
          </cell>
          <cell r="V40">
            <v>78.72</v>
          </cell>
          <cell r="W40">
            <v>117.53</v>
          </cell>
          <cell r="X40">
            <v>264.13400999999999</v>
          </cell>
          <cell r="Y40">
            <v>528.26801999999998</v>
          </cell>
          <cell r="Z40">
            <v>536.98796169846946</v>
          </cell>
          <cell r="AA40">
            <v>1073.9759233969389</v>
          </cell>
          <cell r="AB40">
            <v>288.77121</v>
          </cell>
          <cell r="AC40">
            <v>298.30450756889883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123.98399999999999</v>
          </cell>
          <cell r="AK40">
            <v>128.07712398484028</v>
          </cell>
          <cell r="AL40">
            <v>12897.169999999998</v>
          </cell>
          <cell r="AM40">
            <v>8</v>
          </cell>
          <cell r="AN40">
            <v>13.513</v>
          </cell>
          <cell r="AO40">
            <v>13.425000000000001</v>
          </cell>
          <cell r="AP40">
            <v>12.2</v>
          </cell>
        </row>
        <row r="41">
          <cell r="D41" t="str">
            <v>N/3/-/001</v>
          </cell>
          <cell r="F41">
            <v>3993.8987495000001</v>
          </cell>
          <cell r="G41">
            <v>4965.0570164999999</v>
          </cell>
          <cell r="H41">
            <v>6610.5950684734189</v>
          </cell>
          <cell r="I41">
            <v>255.77908649999998</v>
          </cell>
          <cell r="J41">
            <v>283.73672249999993</v>
          </cell>
          <cell r="K41">
            <v>311.69435849999991</v>
          </cell>
          <cell r="L41">
            <v>3993.8987495000001</v>
          </cell>
          <cell r="M41">
            <v>4965.0570164999999</v>
          </cell>
          <cell r="N41">
            <v>6610.5950684734189</v>
          </cell>
          <cell r="O41">
            <v>255.77908649999998</v>
          </cell>
          <cell r="P41">
            <v>283.73672249999993</v>
          </cell>
          <cell r="Q41">
            <v>311.69435849999991</v>
          </cell>
          <cell r="R41">
            <v>3993.8987495000001</v>
          </cell>
          <cell r="S41">
            <v>4965.0570164999999</v>
          </cell>
          <cell r="T41">
            <v>52.83</v>
          </cell>
          <cell r="U41">
            <v>25.21</v>
          </cell>
          <cell r="V41">
            <v>65</v>
          </cell>
          <cell r="W41">
            <v>74.790000000000006</v>
          </cell>
          <cell r="X41">
            <v>147.55419000000001</v>
          </cell>
          <cell r="Y41">
            <v>295.10838000000001</v>
          </cell>
          <cell r="Z41">
            <v>299.97963430823881</v>
          </cell>
          <cell r="AA41">
            <v>599.95926861647763</v>
          </cell>
          <cell r="AB41">
            <v>183.75903000000002</v>
          </cell>
          <cell r="AC41">
            <v>189.82552642795835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102.375</v>
          </cell>
          <cell r="AK41">
            <v>105.7547390626857</v>
          </cell>
          <cell r="AL41">
            <v>8712.99</v>
          </cell>
          <cell r="AM41" t="e">
            <v>#N/A</v>
          </cell>
          <cell r="AN41">
            <v>9</v>
          </cell>
          <cell r="AO41">
            <v>9.9930000000000003</v>
          </cell>
          <cell r="AP41">
            <v>12.2</v>
          </cell>
        </row>
        <row r="42">
          <cell r="D42" t="str">
            <v>N/3/-/005D</v>
          </cell>
          <cell r="F42">
            <v>3318.2230630000004</v>
          </cell>
          <cell r="G42">
            <v>4176.8915604999993</v>
          </cell>
          <cell r="H42">
            <v>5360.7780572658485</v>
          </cell>
          <cell r="I42">
            <v>184.65671699999999</v>
          </cell>
          <cell r="J42">
            <v>204.84040499999998</v>
          </cell>
          <cell r="K42">
            <v>225.02409299999997</v>
          </cell>
          <cell r="L42">
            <v>3318.2230630000004</v>
          </cell>
          <cell r="M42">
            <v>4176.8915604999993</v>
          </cell>
          <cell r="N42">
            <v>5360.7780572658485</v>
          </cell>
          <cell r="O42">
            <v>184.65671699999999</v>
          </cell>
          <cell r="P42">
            <v>204.84040499999998</v>
          </cell>
          <cell r="Q42">
            <v>225.02409299999997</v>
          </cell>
          <cell r="R42">
            <v>3318.2230630000004</v>
          </cell>
          <cell r="S42">
            <v>4176.8915604999993</v>
          </cell>
          <cell r="T42">
            <v>38.14</v>
          </cell>
          <cell r="U42">
            <v>32.24</v>
          </cell>
          <cell r="V42">
            <v>50.32</v>
          </cell>
          <cell r="W42">
            <v>60.65</v>
          </cell>
          <cell r="X42">
            <v>106.52502000000001</v>
          </cell>
          <cell r="Y42">
            <v>213.05004000000002</v>
          </cell>
          <cell r="Z42">
            <v>216.56678501828941</v>
          </cell>
          <cell r="AA42">
            <v>433.13357003657882</v>
          </cell>
          <cell r="AB42">
            <v>149.01705000000001</v>
          </cell>
          <cell r="AC42">
            <v>153.93659817964533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79.254000000000005</v>
          </cell>
          <cell r="AK42">
            <v>81.870437994374541</v>
          </cell>
          <cell r="AL42">
            <v>6864.4400000000005</v>
          </cell>
          <cell r="AM42" t="e">
            <v>#N/A</v>
          </cell>
          <cell r="AN42">
            <v>8.92</v>
          </cell>
          <cell r="AO42">
            <v>8.06</v>
          </cell>
          <cell r="AP42">
            <v>29.549999999999997</v>
          </cell>
        </row>
        <row r="43">
          <cell r="D43" t="str">
            <v>N/4/-/021</v>
          </cell>
          <cell r="F43">
            <v>4448.189711</v>
          </cell>
          <cell r="G43">
            <v>5477.376236000001</v>
          </cell>
          <cell r="H43">
            <v>7214.290272613991</v>
          </cell>
          <cell r="I43">
            <v>288.21747149999999</v>
          </cell>
          <cell r="J43">
            <v>319.72074749999996</v>
          </cell>
          <cell r="K43">
            <v>351.22402349999993</v>
          </cell>
          <cell r="L43">
            <v>4448.189711</v>
          </cell>
          <cell r="M43">
            <v>5477.376236000001</v>
          </cell>
          <cell r="N43">
            <v>7214.290272613991</v>
          </cell>
          <cell r="O43">
            <v>288.21747149999999</v>
          </cell>
          <cell r="P43">
            <v>319.72074749999996</v>
          </cell>
          <cell r="Q43">
            <v>351.22402349999993</v>
          </cell>
          <cell r="R43">
            <v>4448.189711</v>
          </cell>
          <cell r="S43">
            <v>5477.376236000001</v>
          </cell>
          <cell r="T43">
            <v>59.53</v>
          </cell>
          <cell r="U43">
            <v>35.53</v>
          </cell>
          <cell r="V43">
            <v>72.739999999999995</v>
          </cell>
          <cell r="W43">
            <v>81.62</v>
          </cell>
          <cell r="X43">
            <v>166.26729</v>
          </cell>
          <cell r="Y43">
            <v>332.53458000000001</v>
          </cell>
          <cell r="Z43">
            <v>338.02361594490736</v>
          </cell>
          <cell r="AA43">
            <v>676.04723188981473</v>
          </cell>
          <cell r="AB43">
            <v>200.54034000000004</v>
          </cell>
          <cell r="AC43">
            <v>207.16084325511383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114.56549999999999</v>
          </cell>
          <cell r="AK43">
            <v>118.34768799107317</v>
          </cell>
          <cell r="AL43">
            <v>9692.869999999999</v>
          </cell>
          <cell r="AM43">
            <v>15</v>
          </cell>
          <cell r="AN43">
            <v>13.414999999999999</v>
          </cell>
          <cell r="AO43">
            <v>10.565000000000001</v>
          </cell>
          <cell r="AP43" t="str">
            <v>N/A</v>
          </cell>
        </row>
        <row r="44">
          <cell r="D44" t="str">
            <v>GARAGE</v>
          </cell>
          <cell r="F44">
            <v>1443.4738499999999</v>
          </cell>
          <cell r="G44">
            <v>1961.5339999999999</v>
          </cell>
          <cell r="H44">
            <v>5096.495676536666</v>
          </cell>
          <cell r="I44">
            <v>198.50354999999999</v>
          </cell>
          <cell r="J44">
            <v>220.20074999999997</v>
          </cell>
          <cell r="K44">
            <v>241.89794999999995</v>
          </cell>
          <cell r="L44">
            <v>1443.4738499999999</v>
          </cell>
          <cell r="M44">
            <v>1961.5339999999999</v>
          </cell>
          <cell r="N44">
            <v>5096.495676536666</v>
          </cell>
          <cell r="O44">
            <v>198.50354999999999</v>
          </cell>
          <cell r="P44">
            <v>220.20074999999997</v>
          </cell>
          <cell r="Q44">
            <v>241.89794999999995</v>
          </cell>
          <cell r="R44">
            <v>1443.4738499999999</v>
          </cell>
          <cell r="S44">
            <v>1961.5339999999999</v>
          </cell>
          <cell r="T44">
            <v>0</v>
          </cell>
          <cell r="U44">
            <v>0</v>
          </cell>
          <cell r="V44">
            <v>0</v>
          </cell>
          <cell r="W44">
            <v>57.66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141.67062000000001</v>
          </cell>
          <cell r="AC44">
            <v>146.34763810450698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3369.96</v>
          </cell>
          <cell r="AM44" t="e">
            <v>#N/A</v>
          </cell>
          <cell r="AN44">
            <v>11.25</v>
          </cell>
          <cell r="AO44">
            <v>8.6559999999999988</v>
          </cell>
          <cell r="AP44">
            <v>26.03</v>
          </cell>
        </row>
        <row r="45">
          <cell r="D45" t="str">
            <v>T/H-3ST-END</v>
          </cell>
          <cell r="F45">
            <v>3049.0464999999999</v>
          </cell>
          <cell r="G45">
            <v>3741.0651187500007</v>
          </cell>
          <cell r="H45">
            <v>5104.4506645853708</v>
          </cell>
          <cell r="I45">
            <v>181.55812499999999</v>
          </cell>
          <cell r="J45">
            <v>201.40312499999996</v>
          </cell>
          <cell r="K45">
            <v>221.24812499999996</v>
          </cell>
          <cell r="L45">
            <v>3049.0464999999999</v>
          </cell>
          <cell r="M45">
            <v>3741.0651187500007</v>
          </cell>
          <cell r="N45">
            <v>5104.4506645853708</v>
          </cell>
          <cell r="O45">
            <v>181.55812499999999</v>
          </cell>
          <cell r="P45">
            <v>201.40312499999996</v>
          </cell>
          <cell r="Q45">
            <v>221.24812499999996</v>
          </cell>
          <cell r="R45">
            <v>3049.0464999999999</v>
          </cell>
          <cell r="S45">
            <v>3741.0651187500007</v>
          </cell>
          <cell r="T45">
            <v>37.5</v>
          </cell>
          <cell r="U45">
            <v>22.5</v>
          </cell>
          <cell r="V45">
            <v>50.26</v>
          </cell>
          <cell r="W45">
            <v>57.75</v>
          </cell>
          <cell r="X45">
            <v>104.73750000000001</v>
          </cell>
          <cell r="Y45">
            <v>209.47500000000002</v>
          </cell>
          <cell r="Z45">
            <v>212.9327330410554</v>
          </cell>
          <cell r="AA45">
            <v>425.8654660821108</v>
          </cell>
          <cell r="AB45">
            <v>141.89175000000003</v>
          </cell>
          <cell r="AC45">
            <v>146.57606834088241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79.159499999999994</v>
          </cell>
          <cell r="AK45">
            <v>81.77281823523974</v>
          </cell>
          <cell r="AL45">
            <v>6381.21</v>
          </cell>
          <cell r="AM45" t="e">
            <v>#N/A</v>
          </cell>
          <cell r="AN45">
            <v>10.8</v>
          </cell>
          <cell r="AO45">
            <v>9.4559999999999995</v>
          </cell>
          <cell r="AP45" t="str">
            <v>N/A</v>
          </cell>
        </row>
        <row r="46">
          <cell r="D46" t="str">
            <v>T/H-3ST-MID</v>
          </cell>
          <cell r="F46">
            <v>2468.4889000000003</v>
          </cell>
          <cell r="G46">
            <v>3193.2281437500005</v>
          </cell>
          <cell r="H46">
            <v>7410.5133111487012</v>
          </cell>
          <cell r="I46">
            <v>130.72184999999999</v>
          </cell>
          <cell r="J46">
            <v>145.01024999999998</v>
          </cell>
          <cell r="K46">
            <v>159.29864999999995</v>
          </cell>
          <cell r="L46">
            <v>2468.4889000000003</v>
          </cell>
          <cell r="M46">
            <v>3193.2281437500005</v>
          </cell>
          <cell r="N46">
            <v>7410.5133111487012</v>
          </cell>
          <cell r="O46">
            <v>130.72184999999999</v>
          </cell>
          <cell r="P46">
            <v>145.01024999999998</v>
          </cell>
          <cell r="Q46">
            <v>159.29864999999995</v>
          </cell>
          <cell r="R46">
            <v>2468.4889000000003</v>
          </cell>
          <cell r="S46">
            <v>3193.2281437500005</v>
          </cell>
          <cell r="T46">
            <v>27</v>
          </cell>
          <cell r="U46">
            <v>12</v>
          </cell>
          <cell r="V46">
            <v>50.26</v>
          </cell>
          <cell r="W46">
            <v>83.84</v>
          </cell>
          <cell r="X46">
            <v>75.411000000000001</v>
          </cell>
          <cell r="Y46">
            <v>150.822</v>
          </cell>
          <cell r="Z46">
            <v>153.31156778955989</v>
          </cell>
          <cell r="AA46">
            <v>306.62313557911978</v>
          </cell>
          <cell r="AB46">
            <v>205.99488000000002</v>
          </cell>
          <cell r="AC46">
            <v>212.7954557523737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79.159499999999994</v>
          </cell>
          <cell r="AK46">
            <v>81.77281823523974</v>
          </cell>
          <cell r="AL46">
            <v>5572.71</v>
          </cell>
          <cell r="AM46" t="e">
            <v>#N/A</v>
          </cell>
          <cell r="AN46">
            <v>12.103</v>
          </cell>
          <cell r="AO46">
            <v>10.155999999999999</v>
          </cell>
          <cell r="AP46">
            <v>18.600000000000001</v>
          </cell>
        </row>
        <row r="47">
          <cell r="D47" t="str">
            <v>N/3/A/005-SEMI</v>
          </cell>
          <cell r="F47">
            <v>3439.8044874999996</v>
          </cell>
          <cell r="G47">
            <v>3883.5929874999997</v>
          </cell>
          <cell r="H47">
            <v>5612.6860121414902</v>
          </cell>
          <cell r="I47">
            <v>197.29316249999999</v>
          </cell>
          <cell r="J47">
            <v>218.85806249999996</v>
          </cell>
          <cell r="K47">
            <v>240.42296249999995</v>
          </cell>
          <cell r="L47">
            <v>3439.8044874999996</v>
          </cell>
          <cell r="M47">
            <v>3883.5929874999997</v>
          </cell>
          <cell r="N47">
            <v>5612.6860121414902</v>
          </cell>
          <cell r="O47">
            <v>197.29316249999999</v>
          </cell>
          <cell r="P47">
            <v>218.85806249999996</v>
          </cell>
          <cell r="Q47">
            <v>240.42296249999995</v>
          </cell>
          <cell r="R47">
            <v>3439.8044874999996</v>
          </cell>
          <cell r="S47">
            <v>3883.5929874999997</v>
          </cell>
          <cell r="T47">
            <v>40.75</v>
          </cell>
          <cell r="U47">
            <v>31.5</v>
          </cell>
          <cell r="V47">
            <v>54.82</v>
          </cell>
          <cell r="W47">
            <v>63.5</v>
          </cell>
          <cell r="X47">
            <v>113.81475</v>
          </cell>
          <cell r="Y47">
            <v>227.62950000000001</v>
          </cell>
          <cell r="Z47">
            <v>231.38690323794685</v>
          </cell>
          <cell r="AA47">
            <v>462.77380647589371</v>
          </cell>
          <cell r="AB47">
            <v>156.01950000000002</v>
          </cell>
          <cell r="AC47">
            <v>161.17022233153301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86.341499999999996</v>
          </cell>
          <cell r="AK47">
            <v>89.191919929483547</v>
          </cell>
          <cell r="AL47">
            <v>6960.47</v>
          </cell>
          <cell r="AM47" t="e">
            <v>#N/A</v>
          </cell>
          <cell r="AN47">
            <v>11.25</v>
          </cell>
          <cell r="AO47">
            <v>10.155999999999999</v>
          </cell>
          <cell r="AP47">
            <v>25</v>
          </cell>
        </row>
        <row r="48">
          <cell r="D48" t="str">
            <v>N/3/-/004</v>
          </cell>
          <cell r="F48">
            <v>4838.1113875000001</v>
          </cell>
          <cell r="G48">
            <v>5780.6272749999998</v>
          </cell>
          <cell r="H48">
            <v>9059.8474999134287</v>
          </cell>
          <cell r="I48">
            <v>267.49563749999999</v>
          </cell>
          <cell r="J48">
            <v>296.73393749999997</v>
          </cell>
          <cell r="K48">
            <v>325.97223749999995</v>
          </cell>
          <cell r="L48">
            <v>4838.1113875000001</v>
          </cell>
          <cell r="M48">
            <v>5780.6272749999998</v>
          </cell>
          <cell r="N48">
            <v>9059.8474999134287</v>
          </cell>
          <cell r="O48">
            <v>267.49563749999999</v>
          </cell>
          <cell r="P48">
            <v>296.73393749999997</v>
          </cell>
          <cell r="Q48">
            <v>325.97223749999995</v>
          </cell>
          <cell r="R48">
            <v>4838.1113875000001</v>
          </cell>
          <cell r="S48">
            <v>5780.6272749999998</v>
          </cell>
          <cell r="T48">
            <v>55.25</v>
          </cell>
          <cell r="U48">
            <v>38.5</v>
          </cell>
          <cell r="V48">
            <v>93.4</v>
          </cell>
          <cell r="W48">
            <v>102.5</v>
          </cell>
          <cell r="X48">
            <v>154.31325000000001</v>
          </cell>
          <cell r="Y48">
            <v>308.62650000000002</v>
          </cell>
          <cell r="Z48">
            <v>313.72089334715497</v>
          </cell>
          <cell r="AA48">
            <v>627.44178669430994</v>
          </cell>
          <cell r="AB48">
            <v>251.8425</v>
          </cell>
          <cell r="AC48">
            <v>260.15665809420682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147.10500000000002</v>
          </cell>
          <cell r="AK48">
            <v>151.96142505315146</v>
          </cell>
          <cell r="AL48">
            <v>10633.150000000001</v>
          </cell>
          <cell r="AM48" t="e">
            <v>#N/A</v>
          </cell>
          <cell r="AN48">
            <v>13.35</v>
          </cell>
          <cell r="AO48">
            <v>8.9810000000000016</v>
          </cell>
          <cell r="AP48" t="str">
            <v>N/A</v>
          </cell>
        </row>
        <row r="49">
          <cell r="D49" t="str">
            <v>N/4/A/025</v>
          </cell>
          <cell r="F49">
            <v>4578.0615749999997</v>
          </cell>
          <cell r="G49">
            <v>5574.6254437500002</v>
          </cell>
          <cell r="H49">
            <v>7656.6759968780561</v>
          </cell>
          <cell r="I49">
            <v>271.1268</v>
          </cell>
          <cell r="J49">
            <v>300.76199999999994</v>
          </cell>
          <cell r="K49">
            <v>330.39719999999994</v>
          </cell>
          <cell r="L49">
            <v>4578.0615749999997</v>
          </cell>
          <cell r="M49">
            <v>5574.6254437500002</v>
          </cell>
          <cell r="N49">
            <v>7656.6759968780561</v>
          </cell>
          <cell r="O49">
            <v>271.1268</v>
          </cell>
          <cell r="P49">
            <v>300.76199999999994</v>
          </cell>
          <cell r="Q49">
            <v>330.39719999999994</v>
          </cell>
          <cell r="R49">
            <v>4578.0615749999997</v>
          </cell>
          <cell r="S49">
            <v>5574.6254437500002</v>
          </cell>
          <cell r="T49">
            <v>56</v>
          </cell>
          <cell r="U49">
            <v>46</v>
          </cell>
          <cell r="V49">
            <v>75.284999999999997</v>
          </cell>
          <cell r="W49">
            <v>86.625</v>
          </cell>
          <cell r="X49">
            <v>156.40800000000002</v>
          </cell>
          <cell r="Y49">
            <v>312.81600000000003</v>
          </cell>
          <cell r="Z49">
            <v>317.97954800797606</v>
          </cell>
          <cell r="AA49">
            <v>635.95909601595213</v>
          </cell>
          <cell r="AB49">
            <v>212.837625</v>
          </cell>
          <cell r="AC49">
            <v>219.86410251132355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118.57387499999999</v>
          </cell>
          <cell r="AK49">
            <v>122.48839277437372</v>
          </cell>
          <cell r="AL49">
            <v>9548.11</v>
          </cell>
          <cell r="AM49" t="e">
            <v>#N/A</v>
          </cell>
          <cell r="AN49">
            <v>11.35</v>
          </cell>
          <cell r="AO49">
            <v>8.9059999999999988</v>
          </cell>
          <cell r="AP49">
            <v>23.900000000000002</v>
          </cell>
        </row>
        <row r="50">
          <cell r="D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 t="e">
            <v>#N/A</v>
          </cell>
          <cell r="AN50">
            <v>0</v>
          </cell>
          <cell r="AO50">
            <v>0</v>
          </cell>
          <cell r="AP50">
            <v>26.5</v>
          </cell>
        </row>
        <row r="51">
          <cell r="D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 t="e">
            <v>#N/A</v>
          </cell>
          <cell r="AN51">
            <v>0</v>
          </cell>
          <cell r="AO51">
            <v>0</v>
          </cell>
          <cell r="AP51">
            <v>20.100000000000001</v>
          </cell>
        </row>
        <row r="52">
          <cell r="D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 t="e">
            <v>#N/A</v>
          </cell>
          <cell r="AN52">
            <v>0</v>
          </cell>
          <cell r="AO52">
            <v>0</v>
          </cell>
          <cell r="AP52">
            <v>23</v>
          </cell>
        </row>
        <row r="53">
          <cell r="D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 t="e">
            <v>#N/A</v>
          </cell>
          <cell r="AN53">
            <v>0</v>
          </cell>
          <cell r="AO53">
            <v>0</v>
          </cell>
          <cell r="AP53">
            <v>27.599999999999998</v>
          </cell>
        </row>
        <row r="54">
          <cell r="D54" t="str">
            <v>burs</v>
          </cell>
          <cell r="F54">
            <v>528607.88890000002</v>
          </cell>
          <cell r="G54">
            <v>657309.45612500003</v>
          </cell>
          <cell r="H54">
            <v>6362.222663841645</v>
          </cell>
          <cell r="I54">
            <v>28146.350924999999</v>
          </cell>
          <cell r="J54">
            <v>31222.855124999995</v>
          </cell>
          <cell r="K54">
            <v>34299.35932499999</v>
          </cell>
          <cell r="L54">
            <v>528607.88890000002</v>
          </cell>
          <cell r="M54">
            <v>657309.45612500003</v>
          </cell>
          <cell r="N54">
            <v>6362.222663841645</v>
          </cell>
          <cell r="O54">
            <v>28146.350924999999</v>
          </cell>
          <cell r="P54">
            <v>31222.855124999995</v>
          </cell>
          <cell r="Q54">
            <v>34299.35932499999</v>
          </cell>
          <cell r="R54">
            <v>528607.88890000002</v>
          </cell>
          <cell r="S54">
            <v>657309.45612500003</v>
          </cell>
          <cell r="T54">
            <v>5813.5</v>
          </cell>
          <cell r="U54">
            <v>5764.5</v>
          </cell>
          <cell r="V54">
            <v>11095</v>
          </cell>
          <cell r="W54">
            <v>71.98</v>
          </cell>
          <cell r="X54">
            <v>16237.105500000001</v>
          </cell>
          <cell r="Y54">
            <v>32474.211000000003</v>
          </cell>
          <cell r="Z54">
            <v>33010.251827578017</v>
          </cell>
          <cell r="AA54">
            <v>66020.503655156033</v>
          </cell>
          <cell r="AB54">
            <v>176.85486000000003</v>
          </cell>
          <cell r="AC54">
            <v>182.69342682557081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17474.625</v>
          </cell>
          <cell r="AK54">
            <v>18051.520460007658</v>
          </cell>
          <cell r="AL54">
            <v>1179909.5</v>
          </cell>
          <cell r="AM54" t="e">
            <v>#N/A</v>
          </cell>
          <cell r="AN54">
            <v>10.1</v>
          </cell>
          <cell r="AO54">
            <v>9.9059999999999988</v>
          </cell>
          <cell r="AP54">
            <v>23.7</v>
          </cell>
        </row>
        <row r="55">
          <cell r="D55" t="str">
            <v>RED2</v>
          </cell>
          <cell r="F55">
            <v>17185.0933</v>
          </cell>
          <cell r="G55">
            <v>23006.292425</v>
          </cell>
          <cell r="H55">
            <v>3977.4940243522369</v>
          </cell>
          <cell r="I55">
            <v>721.39094999999998</v>
          </cell>
          <cell r="J55">
            <v>800.24174999999991</v>
          </cell>
          <cell r="K55">
            <v>879.09254999999985</v>
          </cell>
          <cell r="L55">
            <v>17185.0933</v>
          </cell>
          <cell r="M55">
            <v>23006.292425</v>
          </cell>
          <cell r="N55">
            <v>3977.4940243522369</v>
          </cell>
          <cell r="O55">
            <v>721.39094999999998</v>
          </cell>
          <cell r="P55">
            <v>800.24174999999991</v>
          </cell>
          <cell r="Q55">
            <v>879.09254999999985</v>
          </cell>
          <cell r="R55">
            <v>17185.0933</v>
          </cell>
          <cell r="S55">
            <v>23006.292425</v>
          </cell>
          <cell r="T55">
            <v>149</v>
          </cell>
          <cell r="U55">
            <v>109</v>
          </cell>
          <cell r="V55">
            <v>467.5</v>
          </cell>
          <cell r="W55">
            <v>45</v>
          </cell>
          <cell r="X55">
            <v>416.15700000000004</v>
          </cell>
          <cell r="Y55">
            <v>832.31400000000008</v>
          </cell>
          <cell r="Z55">
            <v>846.0527259497934</v>
          </cell>
          <cell r="AA55">
            <v>1692.1054518995868</v>
          </cell>
          <cell r="AB55">
            <v>110.565</v>
          </cell>
          <cell r="AC55">
            <v>114.21511818770055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736.3125</v>
          </cell>
          <cell r="AK55">
            <v>760.6206232585472</v>
          </cell>
          <cell r="AL55">
            <v>42328</v>
          </cell>
          <cell r="AM55" t="e">
            <v>#N/A</v>
          </cell>
          <cell r="AN55">
            <v>7</v>
          </cell>
          <cell r="AO55">
            <v>12</v>
          </cell>
          <cell r="AP55">
            <v>29.6</v>
          </cell>
        </row>
        <row r="56">
          <cell r="D56" t="str">
            <v>RED3</v>
          </cell>
          <cell r="F56">
            <v>10523.930249999999</v>
          </cell>
          <cell r="G56">
            <v>13168.051649999999</v>
          </cell>
          <cell r="H56">
            <v>3402.9671097235805</v>
          </cell>
          <cell r="I56">
            <v>537.41205000000002</v>
          </cell>
          <cell r="J56">
            <v>596.15324999999996</v>
          </cell>
          <cell r="K56">
            <v>654.89444999999989</v>
          </cell>
          <cell r="L56">
            <v>10523.930249999999</v>
          </cell>
          <cell r="M56">
            <v>13168.051649999999</v>
          </cell>
          <cell r="N56">
            <v>3402.9671097235805</v>
          </cell>
          <cell r="O56">
            <v>537.41205000000002</v>
          </cell>
          <cell r="P56">
            <v>596.15324999999996</v>
          </cell>
          <cell r="Q56">
            <v>654.89444999999989</v>
          </cell>
          <cell r="R56">
            <v>10523.930249999999</v>
          </cell>
          <cell r="S56">
            <v>13168.051649999999</v>
          </cell>
          <cell r="T56">
            <v>111</v>
          </cell>
          <cell r="U56">
            <v>90</v>
          </cell>
          <cell r="V56">
            <v>222</v>
          </cell>
          <cell r="W56">
            <v>38.5</v>
          </cell>
          <cell r="X56">
            <v>310.02300000000002</v>
          </cell>
          <cell r="Y56">
            <v>620.04600000000005</v>
          </cell>
          <cell r="Z56">
            <v>630.28088980152393</v>
          </cell>
          <cell r="AA56">
            <v>1260.5617796030479</v>
          </cell>
          <cell r="AB56">
            <v>94.594500000000011</v>
          </cell>
          <cell r="AC56">
            <v>97.717378893921605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349.65</v>
          </cell>
          <cell r="AK56">
            <v>361.19310879871114</v>
          </cell>
          <cell r="AL56">
            <v>23199</v>
          </cell>
          <cell r="AM56" t="e">
            <v>#N/A</v>
          </cell>
          <cell r="AN56">
            <v>5.5</v>
          </cell>
          <cell r="AO56">
            <v>7</v>
          </cell>
          <cell r="AP56" t="str">
            <v>N/A</v>
          </cell>
        </row>
        <row r="57">
          <cell r="D57" t="str">
            <v>RED4</v>
          </cell>
          <cell r="F57">
            <v>14037.5291</v>
          </cell>
          <cell r="G57">
            <v>17712.173600000002</v>
          </cell>
          <cell r="H57">
            <v>3204.0924085059687</v>
          </cell>
          <cell r="I57">
            <v>716.54939999999999</v>
          </cell>
          <cell r="J57">
            <v>794.87099999999987</v>
          </cell>
          <cell r="K57">
            <v>873.19259999999986</v>
          </cell>
          <cell r="L57">
            <v>14037.5291</v>
          </cell>
          <cell r="M57">
            <v>17712.173600000002</v>
          </cell>
          <cell r="N57">
            <v>3204.0924085059687</v>
          </cell>
          <cell r="O57">
            <v>716.54939999999999</v>
          </cell>
          <cell r="P57">
            <v>794.87099999999987</v>
          </cell>
          <cell r="Q57">
            <v>873.19259999999986</v>
          </cell>
          <cell r="R57">
            <v>14037.5291</v>
          </cell>
          <cell r="S57">
            <v>17712.173600000002</v>
          </cell>
          <cell r="T57">
            <v>148</v>
          </cell>
          <cell r="U57">
            <v>118</v>
          </cell>
          <cell r="V57">
            <v>302</v>
          </cell>
          <cell r="W57">
            <v>36.25</v>
          </cell>
          <cell r="X57">
            <v>413.36400000000003</v>
          </cell>
          <cell r="Y57">
            <v>826.72800000000007</v>
          </cell>
          <cell r="Z57">
            <v>840.37451973536531</v>
          </cell>
          <cell r="AA57">
            <v>1680.7490394707306</v>
          </cell>
          <cell r="AB57">
            <v>89.066249999999997</v>
          </cell>
          <cell r="AC57">
            <v>92.006622984536563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475.65</v>
          </cell>
          <cell r="AK57">
            <v>491.3527876450936</v>
          </cell>
          <cell r="AL57">
            <v>31460</v>
          </cell>
          <cell r="AM57" t="e">
            <v>#N/A</v>
          </cell>
          <cell r="AN57">
            <v>5</v>
          </cell>
          <cell r="AO57">
            <v>7.5</v>
          </cell>
          <cell r="AP57" t="str">
            <v>N/A</v>
          </cell>
        </row>
        <row r="58">
          <cell r="D58" t="str">
            <v>RED5</v>
          </cell>
          <cell r="F58">
            <v>12804.244500000001</v>
          </cell>
          <cell r="G58">
            <v>16926.9915</v>
          </cell>
          <cell r="H58">
            <v>3756.5221341104461</v>
          </cell>
          <cell r="I58">
            <v>556.77824999999996</v>
          </cell>
          <cell r="J58">
            <v>617.6362499999999</v>
          </cell>
          <cell r="K58">
            <v>678.49424999999985</v>
          </cell>
          <cell r="L58">
            <v>12804.244500000001</v>
          </cell>
          <cell r="M58">
            <v>16926.9915</v>
          </cell>
          <cell r="N58">
            <v>3756.5221341104461</v>
          </cell>
          <cell r="O58">
            <v>556.77824999999996</v>
          </cell>
          <cell r="P58">
            <v>617.6362499999999</v>
          </cell>
          <cell r="Q58">
            <v>678.49424999999985</v>
          </cell>
          <cell r="R58">
            <v>12804.244500000001</v>
          </cell>
          <cell r="S58">
            <v>16926.9915</v>
          </cell>
          <cell r="T58">
            <v>115</v>
          </cell>
          <cell r="U58">
            <v>85</v>
          </cell>
          <cell r="V58">
            <v>333</v>
          </cell>
          <cell r="W58">
            <v>42.5</v>
          </cell>
          <cell r="X58">
            <v>321.19499999999999</v>
          </cell>
          <cell r="Y58">
            <v>642.39</v>
          </cell>
          <cell r="Z58">
            <v>652.9937146592365</v>
          </cell>
          <cell r="AA58">
            <v>1305.987429318473</v>
          </cell>
          <cell r="AB58">
            <v>104.4225</v>
          </cell>
          <cell r="AC58">
            <v>107.8698338439394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524.47500000000002</v>
          </cell>
          <cell r="AK58">
            <v>541.78966319806671</v>
          </cell>
          <cell r="AL58">
            <v>30833</v>
          </cell>
          <cell r="AM58" t="e">
            <v>#N/A</v>
          </cell>
          <cell r="AN58">
            <v>0</v>
          </cell>
          <cell r="AO58">
            <v>0</v>
          </cell>
          <cell r="AP58">
            <v>21.8</v>
          </cell>
        </row>
        <row r="59">
          <cell r="D59" t="str">
            <v>BROWN1</v>
          </cell>
          <cell r="F59">
            <v>6709.5788499999999</v>
          </cell>
          <cell r="G59">
            <v>8655.3032000000003</v>
          </cell>
          <cell r="H59">
            <v>3646.0361889895507</v>
          </cell>
          <cell r="I59">
            <v>300.17609999999996</v>
          </cell>
          <cell r="J59">
            <v>332.98649999999998</v>
          </cell>
          <cell r="K59">
            <v>365.79689999999994</v>
          </cell>
          <cell r="L59">
            <v>6709.5788499999999</v>
          </cell>
          <cell r="M59">
            <v>8655.3032000000003</v>
          </cell>
          <cell r="N59">
            <v>3646.0361889895507</v>
          </cell>
          <cell r="O59">
            <v>300.17609999999996</v>
          </cell>
          <cell r="P59">
            <v>332.98649999999998</v>
          </cell>
          <cell r="Q59">
            <v>365.79689999999994</v>
          </cell>
          <cell r="R59">
            <v>6709.5788499999999</v>
          </cell>
          <cell r="S59">
            <v>8655.3032000000003</v>
          </cell>
          <cell r="T59">
            <v>62</v>
          </cell>
          <cell r="U59">
            <v>53</v>
          </cell>
          <cell r="V59">
            <v>160</v>
          </cell>
          <cell r="W59">
            <v>41.25</v>
          </cell>
          <cell r="X59">
            <v>173.166</v>
          </cell>
          <cell r="Y59">
            <v>346.33199999999999</v>
          </cell>
          <cell r="Z59">
            <v>352.04878529454487</v>
          </cell>
          <cell r="AA59">
            <v>704.09757058908974</v>
          </cell>
          <cell r="AB59">
            <v>101.35125000000001</v>
          </cell>
          <cell r="AC59">
            <v>104.69719167205886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252</v>
          </cell>
          <cell r="AK59">
            <v>260.31935769276481</v>
          </cell>
          <cell r="AL59">
            <v>15334</v>
          </cell>
          <cell r="AM59" t="e">
            <v>#N/A</v>
          </cell>
          <cell r="AN59">
            <v>0</v>
          </cell>
          <cell r="AO59">
            <v>0</v>
          </cell>
          <cell r="AP59" t="str">
            <v>N/A</v>
          </cell>
        </row>
        <row r="60">
          <cell r="D60" t="str">
            <v>BROWN2</v>
          </cell>
          <cell r="F60">
            <v>12798.550800000001</v>
          </cell>
          <cell r="G60">
            <v>15921.669900000001</v>
          </cell>
          <cell r="H60">
            <v>28527.471030215213</v>
          </cell>
          <cell r="I60">
            <v>668.13389999999993</v>
          </cell>
          <cell r="J60">
            <v>741.16349999999989</v>
          </cell>
          <cell r="K60">
            <v>814.19309999999984</v>
          </cell>
          <cell r="L60">
            <v>12798.550800000001</v>
          </cell>
          <cell r="M60">
            <v>15921.669900000001</v>
          </cell>
          <cell r="N60">
            <v>28527.471030215213</v>
          </cell>
          <cell r="O60">
            <v>668.13389999999993</v>
          </cell>
          <cell r="P60">
            <v>741.16349999999989</v>
          </cell>
          <cell r="Q60">
            <v>814.19309999999984</v>
          </cell>
          <cell r="R60">
            <v>12798.550800000001</v>
          </cell>
          <cell r="S60">
            <v>15921.669900000001</v>
          </cell>
          <cell r="T60">
            <v>138</v>
          </cell>
          <cell r="U60">
            <v>114</v>
          </cell>
          <cell r="V60">
            <v>264</v>
          </cell>
          <cell r="W60">
            <v>322.75</v>
          </cell>
          <cell r="X60">
            <v>385.43400000000003</v>
          </cell>
          <cell r="Y60">
            <v>770.86800000000005</v>
          </cell>
          <cell r="Z60">
            <v>783.59245759108376</v>
          </cell>
          <cell r="AA60">
            <v>1567.1849151821675</v>
          </cell>
          <cell r="AB60">
            <v>792.99675000000002</v>
          </cell>
          <cell r="AC60">
            <v>819.17620877956335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415.8</v>
          </cell>
          <cell r="AK60">
            <v>429.52694019306193</v>
          </cell>
          <cell r="AL60">
            <v>28050</v>
          </cell>
          <cell r="AM60" t="e">
            <v>#N/A</v>
          </cell>
          <cell r="AN60">
            <v>0</v>
          </cell>
          <cell r="AO60">
            <v>0</v>
          </cell>
          <cell r="AP60">
            <v>15.38</v>
          </cell>
        </row>
        <row r="61">
          <cell r="D61" t="str">
            <v>BROWN3</v>
          </cell>
          <cell r="F61">
            <v>16121.66265</v>
          </cell>
          <cell r="G61">
            <v>20493.078600000001</v>
          </cell>
          <cell r="H61">
            <v>13435.09092670089</v>
          </cell>
          <cell r="I61">
            <v>798.85574999999994</v>
          </cell>
          <cell r="J61">
            <v>886.17374999999993</v>
          </cell>
          <cell r="K61">
            <v>973.4917499999998</v>
          </cell>
          <cell r="L61">
            <v>16121.66265</v>
          </cell>
          <cell r="M61">
            <v>20493.078600000001</v>
          </cell>
          <cell r="N61">
            <v>13435.09092670089</v>
          </cell>
          <cell r="O61">
            <v>798.85574999999994</v>
          </cell>
          <cell r="P61">
            <v>886.17374999999993</v>
          </cell>
          <cell r="Q61">
            <v>973.4917499999998</v>
          </cell>
          <cell r="R61">
            <v>16121.66265</v>
          </cell>
          <cell r="S61">
            <v>20493.078600000001</v>
          </cell>
          <cell r="T61">
            <v>165</v>
          </cell>
          <cell r="U61">
            <v>132</v>
          </cell>
          <cell r="V61">
            <v>363</v>
          </cell>
          <cell r="W61">
            <v>152</v>
          </cell>
          <cell r="X61">
            <v>460.84500000000003</v>
          </cell>
          <cell r="Y61">
            <v>921.69</v>
          </cell>
          <cell r="Z61">
            <v>936.90402538064359</v>
          </cell>
          <cell r="AA61">
            <v>1873.8080507612872</v>
          </cell>
          <cell r="AB61">
            <v>373.46400000000006</v>
          </cell>
          <cell r="AC61">
            <v>385.7932881006775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571.72500000000002</v>
          </cell>
          <cell r="AK61">
            <v>590.59954276546023</v>
          </cell>
          <cell r="AL61">
            <v>36663</v>
          </cell>
          <cell r="AM61" t="e">
            <v>#N/A</v>
          </cell>
          <cell r="AN61">
            <v>0</v>
          </cell>
          <cell r="AO61">
            <v>0</v>
          </cell>
          <cell r="AP61">
            <v>17.7</v>
          </cell>
        </row>
        <row r="62">
          <cell r="D62" t="str">
            <v>BROWN4</v>
          </cell>
          <cell r="F62">
            <v>14706.1662</v>
          </cell>
          <cell r="G62">
            <v>18796.113300000001</v>
          </cell>
          <cell r="H62">
            <v>29875.399560690137</v>
          </cell>
          <cell r="I62">
            <v>726.23249999999996</v>
          </cell>
          <cell r="J62">
            <v>805.61249999999984</v>
          </cell>
          <cell r="K62">
            <v>884.99249999999984</v>
          </cell>
          <cell r="L62">
            <v>14706.1662</v>
          </cell>
          <cell r="M62">
            <v>18796.113300000001</v>
          </cell>
          <cell r="N62">
            <v>29875.399560690137</v>
          </cell>
          <cell r="O62">
            <v>726.23249999999996</v>
          </cell>
          <cell r="P62">
            <v>805.61249999999984</v>
          </cell>
          <cell r="Q62">
            <v>884.99249999999984</v>
          </cell>
          <cell r="R62">
            <v>14706.1662</v>
          </cell>
          <cell r="S62">
            <v>18796.113300000001</v>
          </cell>
          <cell r="T62">
            <v>150</v>
          </cell>
          <cell r="U62">
            <v>106</v>
          </cell>
          <cell r="V62">
            <v>336</v>
          </cell>
          <cell r="W62">
            <v>338</v>
          </cell>
          <cell r="X62">
            <v>418.95000000000005</v>
          </cell>
          <cell r="Y62">
            <v>837.90000000000009</v>
          </cell>
          <cell r="Z62">
            <v>851.7309321642216</v>
          </cell>
          <cell r="AA62">
            <v>1703.4618643284432</v>
          </cell>
          <cell r="AB62">
            <v>830.46600000000012</v>
          </cell>
          <cell r="AC62">
            <v>857.88244327650648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529.19999999999993</v>
          </cell>
          <cell r="AK62">
            <v>546.67065115480602</v>
          </cell>
          <cell r="AL62">
            <v>33726</v>
          </cell>
          <cell r="AM62" t="e">
            <v>#N/A</v>
          </cell>
          <cell r="AN62">
            <v>0</v>
          </cell>
          <cell r="AO62">
            <v>0</v>
          </cell>
          <cell r="AP62">
            <v>27.299999999999997</v>
          </cell>
        </row>
        <row r="63">
          <cell r="D63" t="str">
            <v>BROWN5</v>
          </cell>
          <cell r="F63">
            <v>8671.2392</v>
          </cell>
          <cell r="G63">
            <v>11060.12095</v>
          </cell>
          <cell r="H63">
            <v>17589.362463246558</v>
          </cell>
          <cell r="I63">
            <v>416.37329999999997</v>
          </cell>
          <cell r="J63">
            <v>461.88449999999995</v>
          </cell>
          <cell r="K63">
            <v>507.39569999999986</v>
          </cell>
          <cell r="L63">
            <v>8671.2392</v>
          </cell>
          <cell r="M63">
            <v>11060.12095</v>
          </cell>
          <cell r="N63">
            <v>17589.362463246558</v>
          </cell>
          <cell r="O63">
            <v>416.37329999999997</v>
          </cell>
          <cell r="P63">
            <v>461.88449999999995</v>
          </cell>
          <cell r="Q63">
            <v>507.39569999999986</v>
          </cell>
          <cell r="R63">
            <v>8671.2392</v>
          </cell>
          <cell r="S63">
            <v>11060.12095</v>
          </cell>
          <cell r="T63">
            <v>86</v>
          </cell>
          <cell r="U63">
            <v>66</v>
          </cell>
          <cell r="V63">
            <v>197</v>
          </cell>
          <cell r="W63">
            <v>199</v>
          </cell>
          <cell r="X63">
            <v>240.19800000000001</v>
          </cell>
          <cell r="Y63">
            <v>480.39600000000002</v>
          </cell>
          <cell r="Z63">
            <v>488.32573444082033</v>
          </cell>
          <cell r="AA63">
            <v>976.65146888164065</v>
          </cell>
          <cell r="AB63">
            <v>488.9430000000001</v>
          </cell>
          <cell r="AC63">
            <v>505.08463376338699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310.27499999999998</v>
          </cell>
          <cell r="AK63">
            <v>320.51820915921667</v>
          </cell>
          <cell r="AL63">
            <v>19624</v>
          </cell>
          <cell r="AM63">
            <v>0</v>
          </cell>
          <cell r="AN63">
            <v>0</v>
          </cell>
          <cell r="AO63">
            <v>0</v>
          </cell>
          <cell r="AP63">
            <v>27.83</v>
          </cell>
        </row>
        <row r="64">
          <cell r="D64" t="str">
            <v>BROWN6</v>
          </cell>
          <cell r="F64">
            <v>5171.8933500000003</v>
          </cell>
          <cell r="G64">
            <v>6327.7059000000008</v>
          </cell>
          <cell r="H64">
            <v>0</v>
          </cell>
          <cell r="I64">
            <v>266.28524999999996</v>
          </cell>
          <cell r="J64">
            <v>295.39124999999996</v>
          </cell>
          <cell r="K64">
            <v>324.49724999999995</v>
          </cell>
          <cell r="L64">
            <v>5171.8933500000003</v>
          </cell>
          <cell r="M64">
            <v>6327.7059000000008</v>
          </cell>
          <cell r="N64">
            <v>0</v>
          </cell>
          <cell r="O64">
            <v>266.28524999999996</v>
          </cell>
          <cell r="P64">
            <v>295.39124999999996</v>
          </cell>
          <cell r="Q64">
            <v>324.49724999999995</v>
          </cell>
          <cell r="R64">
            <v>5171.8933500000003</v>
          </cell>
          <cell r="S64">
            <v>6327.7059000000008</v>
          </cell>
          <cell r="T64">
            <v>55</v>
          </cell>
          <cell r="U64">
            <v>48</v>
          </cell>
          <cell r="V64">
            <v>99</v>
          </cell>
          <cell r="W64">
            <v>0</v>
          </cell>
          <cell r="X64">
            <v>153.61500000000001</v>
          </cell>
          <cell r="Y64">
            <v>307.23</v>
          </cell>
          <cell r="Z64">
            <v>312.30134179354786</v>
          </cell>
          <cell r="AA64">
            <v>624.60268358709573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155.92499999999998</v>
          </cell>
          <cell r="AK64">
            <v>161.07260257239821</v>
          </cell>
          <cell r="AL64">
            <v>10769</v>
          </cell>
          <cell r="AM64" t="e">
            <v>#N/A</v>
          </cell>
          <cell r="AN64">
            <v>0</v>
          </cell>
          <cell r="AO64">
            <v>0</v>
          </cell>
          <cell r="AP64">
            <v>0</v>
          </cell>
        </row>
        <row r="65">
          <cell r="D65" t="str">
            <v>G2-SEMI</v>
          </cell>
          <cell r="F65">
            <v>3006.03638</v>
          </cell>
          <cell r="G65">
            <v>3707.2941970000002</v>
          </cell>
          <cell r="H65">
            <v>0</v>
          </cell>
          <cell r="I65">
            <v>142.24473899999998</v>
          </cell>
          <cell r="J65">
            <v>157.79263499999996</v>
          </cell>
          <cell r="K65">
            <v>173.34053099999994</v>
          </cell>
          <cell r="L65">
            <v>3006.03638</v>
          </cell>
          <cell r="M65">
            <v>3707.2941970000002</v>
          </cell>
          <cell r="N65">
            <v>0</v>
          </cell>
          <cell r="O65">
            <v>142.24473899999998</v>
          </cell>
          <cell r="P65">
            <v>157.79263499999996</v>
          </cell>
          <cell r="Q65">
            <v>173.34053099999994</v>
          </cell>
          <cell r="R65">
            <v>3006.03638</v>
          </cell>
          <cell r="S65">
            <v>3707.2941970000002</v>
          </cell>
          <cell r="T65">
            <v>29.38</v>
          </cell>
          <cell r="U65">
            <v>24.5</v>
          </cell>
          <cell r="V65">
            <v>59</v>
          </cell>
          <cell r="W65">
            <v>0</v>
          </cell>
          <cell r="X65">
            <v>82.058340000000001</v>
          </cell>
          <cell r="Y65">
            <v>164.11668</v>
          </cell>
          <cell r="Z65">
            <v>166.82569857989884</v>
          </cell>
          <cell r="AA65">
            <v>333.65139715979768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92.924999999999997</v>
          </cell>
          <cell r="AK65">
            <v>95.992763149207022</v>
          </cell>
          <cell r="AL65">
            <v>6156.26</v>
          </cell>
          <cell r="AM65" t="e">
            <v>#N/A</v>
          </cell>
          <cell r="AN65">
            <v>0</v>
          </cell>
          <cell r="AO65">
            <v>0</v>
          </cell>
          <cell r="AP65">
            <v>28.959999999999997</v>
          </cell>
        </row>
        <row r="66">
          <cell r="D66" t="str">
            <v>H-SEMI</v>
          </cell>
          <cell r="F66">
            <v>3891.3486874999999</v>
          </cell>
          <cell r="G66">
            <v>4827.9466000000002</v>
          </cell>
          <cell r="H66">
            <v>0</v>
          </cell>
          <cell r="I66">
            <v>188.82044999999999</v>
          </cell>
          <cell r="J66">
            <v>209.45924999999997</v>
          </cell>
          <cell r="K66">
            <v>230.09804999999994</v>
          </cell>
          <cell r="L66">
            <v>3891.3486874999999</v>
          </cell>
          <cell r="M66">
            <v>4827.9466000000002</v>
          </cell>
          <cell r="N66">
            <v>0</v>
          </cell>
          <cell r="O66">
            <v>188.82044999999999</v>
          </cell>
          <cell r="P66">
            <v>209.45924999999997</v>
          </cell>
          <cell r="Q66">
            <v>230.09804999999994</v>
          </cell>
          <cell r="R66">
            <v>3891.3486874999999</v>
          </cell>
          <cell r="S66">
            <v>4827.9466000000002</v>
          </cell>
          <cell r="T66">
            <v>39</v>
          </cell>
          <cell r="U66">
            <v>31.25</v>
          </cell>
          <cell r="V66">
            <v>78.5</v>
          </cell>
          <cell r="W66">
            <v>0</v>
          </cell>
          <cell r="X66">
            <v>108.92700000000001</v>
          </cell>
          <cell r="Y66">
            <v>217.85400000000001</v>
          </cell>
          <cell r="Z66">
            <v>221.45004236269762</v>
          </cell>
          <cell r="AA66">
            <v>442.90008472539523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123.6375</v>
          </cell>
          <cell r="AK66">
            <v>127.71918486801275</v>
          </cell>
          <cell r="AL66">
            <v>8184</v>
          </cell>
          <cell r="AM66" t="e">
            <v>#N/A</v>
          </cell>
          <cell r="AN66">
            <v>0</v>
          </cell>
          <cell r="AO66">
            <v>0</v>
          </cell>
          <cell r="AP66">
            <v>21.19</v>
          </cell>
        </row>
        <row r="67">
          <cell r="D67" t="str">
            <v>H1-SEMI</v>
          </cell>
          <cell r="F67">
            <v>2830.4307850000005</v>
          </cell>
          <cell r="G67">
            <v>3576.7574539999996</v>
          </cell>
          <cell r="H67">
            <v>0</v>
          </cell>
          <cell r="I67">
            <v>124.234173</v>
          </cell>
          <cell r="J67">
            <v>137.81344499999997</v>
          </cell>
          <cell r="K67">
            <v>151.39271699999998</v>
          </cell>
          <cell r="L67">
            <v>2830.4307850000005</v>
          </cell>
          <cell r="M67">
            <v>3576.7574539999996</v>
          </cell>
          <cell r="N67">
            <v>0</v>
          </cell>
          <cell r="O67">
            <v>124.234173</v>
          </cell>
          <cell r="P67">
            <v>137.81344499999997</v>
          </cell>
          <cell r="Q67">
            <v>151.39271699999998</v>
          </cell>
          <cell r="R67">
            <v>2830.4307850000005</v>
          </cell>
          <cell r="S67">
            <v>3576.7574539999996</v>
          </cell>
          <cell r="T67">
            <v>25.66</v>
          </cell>
          <cell r="U67">
            <v>19</v>
          </cell>
          <cell r="V67">
            <v>61.18</v>
          </cell>
          <cell r="W67">
            <v>0</v>
          </cell>
          <cell r="X67">
            <v>71.668379999999999</v>
          </cell>
          <cell r="Y67">
            <v>143.33676</v>
          </cell>
          <cell r="Z67">
            <v>145.70277146222617</v>
          </cell>
          <cell r="AA67">
            <v>291.40554292445233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96.358499999999992</v>
          </cell>
          <cell r="AK67">
            <v>99.539614397770933</v>
          </cell>
          <cell r="AL67">
            <v>6013.7</v>
          </cell>
          <cell r="AM67" t="e">
            <v>#N/A</v>
          </cell>
          <cell r="AN67">
            <v>0</v>
          </cell>
          <cell r="AO67">
            <v>0</v>
          </cell>
          <cell r="AP67">
            <v>33.76</v>
          </cell>
        </row>
        <row r="68">
          <cell r="D68" t="str">
            <v>H2-SEMI</v>
          </cell>
          <cell r="F68">
            <v>4250.5551750000004</v>
          </cell>
          <cell r="G68">
            <v>5330.7531749999998</v>
          </cell>
          <cell r="H68">
            <v>0</v>
          </cell>
          <cell r="I68">
            <v>200.92432499999998</v>
          </cell>
          <cell r="J68">
            <v>222.88612499999996</v>
          </cell>
          <cell r="K68">
            <v>244.84792499999995</v>
          </cell>
          <cell r="L68">
            <v>4250.5551750000004</v>
          </cell>
          <cell r="M68">
            <v>5330.7531749999998</v>
          </cell>
          <cell r="N68">
            <v>0</v>
          </cell>
          <cell r="O68">
            <v>200.92432499999998</v>
          </cell>
          <cell r="P68">
            <v>222.88612499999996</v>
          </cell>
          <cell r="Q68">
            <v>244.84792499999995</v>
          </cell>
          <cell r="R68">
            <v>4250.5551750000004</v>
          </cell>
          <cell r="S68">
            <v>5330.7531749999998</v>
          </cell>
          <cell r="T68">
            <v>41.5</v>
          </cell>
          <cell r="U68">
            <v>34</v>
          </cell>
          <cell r="V68">
            <v>90</v>
          </cell>
          <cell r="W68">
            <v>0</v>
          </cell>
          <cell r="X68">
            <v>115.90950000000001</v>
          </cell>
          <cell r="Y68">
            <v>231.81900000000002</v>
          </cell>
          <cell r="Z68">
            <v>235.64555789876795</v>
          </cell>
          <cell r="AA68">
            <v>471.29111579753589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141.75</v>
          </cell>
          <cell r="AK68">
            <v>146.4296387021802</v>
          </cell>
          <cell r="AL68">
            <v>9135.5</v>
          </cell>
          <cell r="AM68" t="e">
            <v>#N/A</v>
          </cell>
          <cell r="AN68">
            <v>0</v>
          </cell>
          <cell r="AO68">
            <v>0</v>
          </cell>
          <cell r="AP68">
            <v>23.09</v>
          </cell>
        </row>
        <row r="69">
          <cell r="D69" t="str">
            <v>E-DETACH</v>
          </cell>
          <cell r="F69">
            <v>3639.4601250000001</v>
          </cell>
          <cell r="G69">
            <v>4409.8687500000005</v>
          </cell>
          <cell r="H69">
            <v>0</v>
          </cell>
          <cell r="I69">
            <v>193.66199999999998</v>
          </cell>
          <cell r="J69">
            <v>214.82999999999998</v>
          </cell>
          <cell r="K69">
            <v>235.99799999999993</v>
          </cell>
          <cell r="L69">
            <v>3639.4601250000001</v>
          </cell>
          <cell r="M69">
            <v>4409.8687500000005</v>
          </cell>
          <cell r="N69">
            <v>0</v>
          </cell>
          <cell r="O69">
            <v>193.66199999999998</v>
          </cell>
          <cell r="P69">
            <v>214.82999999999998</v>
          </cell>
          <cell r="Q69">
            <v>235.99799999999993</v>
          </cell>
          <cell r="R69">
            <v>3639.4601250000001</v>
          </cell>
          <cell r="S69">
            <v>4409.8687500000005</v>
          </cell>
          <cell r="T69">
            <v>40</v>
          </cell>
          <cell r="U69">
            <v>35</v>
          </cell>
          <cell r="V69">
            <v>66</v>
          </cell>
          <cell r="W69">
            <v>0</v>
          </cell>
          <cell r="X69">
            <v>111.72</v>
          </cell>
          <cell r="Y69">
            <v>223.44</v>
          </cell>
          <cell r="Z69">
            <v>227.12824857712573</v>
          </cell>
          <cell r="AA69">
            <v>454.25649715425146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103.95</v>
          </cell>
          <cell r="AK69">
            <v>107.38173504826548</v>
          </cell>
          <cell r="AL69">
            <v>7436</v>
          </cell>
          <cell r="AM69" t="e">
            <v>#N/A</v>
          </cell>
          <cell r="AN69">
            <v>0</v>
          </cell>
          <cell r="AO69">
            <v>0</v>
          </cell>
          <cell r="AP69">
            <v>35.1</v>
          </cell>
        </row>
        <row r="70">
          <cell r="D70" t="str">
            <v>E2-DETACH</v>
          </cell>
          <cell r="F70">
            <v>3555.9116249999997</v>
          </cell>
          <cell r="G70">
            <v>4268.4111750000002</v>
          </cell>
          <cell r="H70">
            <v>0</v>
          </cell>
          <cell r="I70">
            <v>193.66199999999998</v>
          </cell>
          <cell r="J70">
            <v>214.82999999999998</v>
          </cell>
          <cell r="K70">
            <v>235.99799999999993</v>
          </cell>
          <cell r="L70">
            <v>3555.9116249999997</v>
          </cell>
          <cell r="M70">
            <v>4268.4111750000002</v>
          </cell>
          <cell r="N70">
            <v>0</v>
          </cell>
          <cell r="O70">
            <v>193.66199999999998</v>
          </cell>
          <cell r="P70">
            <v>214.82999999999998</v>
          </cell>
          <cell r="Q70">
            <v>235.99799999999993</v>
          </cell>
          <cell r="R70">
            <v>3555.9116249999997</v>
          </cell>
          <cell r="S70">
            <v>4268.4111750000002</v>
          </cell>
          <cell r="T70">
            <v>40</v>
          </cell>
          <cell r="U70">
            <v>35</v>
          </cell>
          <cell r="V70">
            <v>61.62</v>
          </cell>
          <cell r="W70">
            <v>0</v>
          </cell>
          <cell r="X70">
            <v>111.72</v>
          </cell>
          <cell r="Y70">
            <v>223.44</v>
          </cell>
          <cell r="Z70">
            <v>227.12824857712573</v>
          </cell>
          <cell r="AA70">
            <v>454.25649715425146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97.05149999999999</v>
          </cell>
          <cell r="AK70">
            <v>100.25549263142604</v>
          </cell>
          <cell r="AL70">
            <v>7146.92</v>
          </cell>
          <cell r="AM70">
            <v>0</v>
          </cell>
          <cell r="AN70">
            <v>0</v>
          </cell>
          <cell r="AO70">
            <v>0</v>
          </cell>
          <cell r="AP70">
            <v>25.31</v>
          </cell>
        </row>
        <row r="71">
          <cell r="D71" t="str">
            <v>E4-DETACH</v>
          </cell>
          <cell r="F71">
            <v>3816.8050249999997</v>
          </cell>
          <cell r="G71">
            <v>4627.2555249999996</v>
          </cell>
          <cell r="H71">
            <v>0</v>
          </cell>
          <cell r="I71">
            <v>203.3451</v>
          </cell>
          <cell r="J71">
            <v>225.57149999999996</v>
          </cell>
          <cell r="K71">
            <v>247.79789999999994</v>
          </cell>
          <cell r="L71">
            <v>3816.8050249999997</v>
          </cell>
          <cell r="M71">
            <v>4627.2555249999996</v>
          </cell>
          <cell r="N71">
            <v>0</v>
          </cell>
          <cell r="O71">
            <v>203.3451</v>
          </cell>
          <cell r="P71">
            <v>225.57149999999996</v>
          </cell>
          <cell r="Q71">
            <v>247.79789999999994</v>
          </cell>
          <cell r="R71">
            <v>3816.8050249999997</v>
          </cell>
          <cell r="S71">
            <v>4627.2555249999996</v>
          </cell>
          <cell r="T71">
            <v>42</v>
          </cell>
          <cell r="U71">
            <v>37</v>
          </cell>
          <cell r="V71">
            <v>69.5</v>
          </cell>
          <cell r="W71">
            <v>0</v>
          </cell>
          <cell r="X71">
            <v>117.30600000000001</v>
          </cell>
          <cell r="Y71">
            <v>234.61200000000002</v>
          </cell>
          <cell r="Z71">
            <v>238.48466100598205</v>
          </cell>
          <cell r="AA71">
            <v>476.9693220119641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109.46249999999999</v>
          </cell>
          <cell r="AK71">
            <v>113.07622099779469</v>
          </cell>
          <cell r="AL71">
            <v>7821</v>
          </cell>
          <cell r="AM71" t="e">
            <v>#N/A</v>
          </cell>
          <cell r="AN71">
            <v>0</v>
          </cell>
          <cell r="AO71">
            <v>0</v>
          </cell>
          <cell r="AP71">
            <v>0</v>
          </cell>
        </row>
        <row r="72">
          <cell r="D72" t="str">
            <v>X1-X2 APTS</v>
          </cell>
          <cell r="F72">
            <v>14299.071025000001</v>
          </cell>
          <cell r="G72">
            <v>16390.62095</v>
          </cell>
          <cell r="H72">
            <v>0</v>
          </cell>
          <cell r="I72">
            <v>365.53702499999997</v>
          </cell>
          <cell r="J72">
            <v>405.49162499999994</v>
          </cell>
          <cell r="K72">
            <v>445.44622499999991</v>
          </cell>
          <cell r="L72">
            <v>14299.071025000001</v>
          </cell>
          <cell r="M72">
            <v>16390.62095</v>
          </cell>
          <cell r="N72">
            <v>0</v>
          </cell>
          <cell r="O72">
            <v>365.53702499999997</v>
          </cell>
          <cell r="P72">
            <v>405.49162499999994</v>
          </cell>
          <cell r="Q72">
            <v>445.44622499999991</v>
          </cell>
          <cell r="R72">
            <v>14299.071025000001</v>
          </cell>
          <cell r="S72">
            <v>16390.62095</v>
          </cell>
          <cell r="T72">
            <v>75.5</v>
          </cell>
          <cell r="U72">
            <v>0</v>
          </cell>
          <cell r="V72">
            <v>154</v>
          </cell>
          <cell r="W72">
            <v>0</v>
          </cell>
          <cell r="X72">
            <v>210.8715</v>
          </cell>
          <cell r="Y72">
            <v>421.74299999999999</v>
          </cell>
          <cell r="Z72">
            <v>428.70456918932484</v>
          </cell>
          <cell r="AA72">
            <v>857.40913837864969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242.54999999999998</v>
          </cell>
          <cell r="AK72">
            <v>250.55738177928612</v>
          </cell>
          <cell r="AL72">
            <v>15977.5</v>
          </cell>
          <cell r="AM72" t="e">
            <v>#N/A</v>
          </cell>
          <cell r="AN72">
            <v>0</v>
          </cell>
          <cell r="AO72">
            <v>0</v>
          </cell>
          <cell r="AP72">
            <v>5.68</v>
          </cell>
        </row>
        <row r="73">
          <cell r="D73" t="str">
            <v>Z-APTS</v>
          </cell>
          <cell r="F73">
            <v>9778.2052000000003</v>
          </cell>
          <cell r="G73">
            <v>11551.8251</v>
          </cell>
          <cell r="H73">
            <v>0</v>
          </cell>
          <cell r="I73">
            <v>314.70074999999997</v>
          </cell>
          <cell r="J73">
            <v>349.09874999999994</v>
          </cell>
          <cell r="K73">
            <v>383.49674999999991</v>
          </cell>
          <cell r="L73">
            <v>9778.2052000000003</v>
          </cell>
          <cell r="M73">
            <v>11551.8251</v>
          </cell>
          <cell r="N73">
            <v>0</v>
          </cell>
          <cell r="O73">
            <v>314.70074999999997</v>
          </cell>
          <cell r="P73">
            <v>349.09874999999994</v>
          </cell>
          <cell r="Q73">
            <v>383.49674999999991</v>
          </cell>
          <cell r="R73">
            <v>9778.2052000000003</v>
          </cell>
          <cell r="S73">
            <v>11551.8251</v>
          </cell>
          <cell r="T73">
            <v>65</v>
          </cell>
          <cell r="U73">
            <v>0</v>
          </cell>
          <cell r="V73">
            <v>130</v>
          </cell>
          <cell r="W73">
            <v>0</v>
          </cell>
          <cell r="X73">
            <v>181.54500000000002</v>
          </cell>
          <cell r="Y73">
            <v>363.09000000000003</v>
          </cell>
          <cell r="Z73">
            <v>369.0834039378293</v>
          </cell>
          <cell r="AA73">
            <v>738.16680787565861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204.75</v>
          </cell>
          <cell r="AK73">
            <v>211.5094781253714</v>
          </cell>
          <cell r="AL73">
            <v>13585</v>
          </cell>
          <cell r="AM73">
            <v>0</v>
          </cell>
          <cell r="AN73">
            <v>0</v>
          </cell>
          <cell r="AO73">
            <v>0</v>
          </cell>
          <cell r="AP73">
            <v>15.39</v>
          </cell>
        </row>
        <row r="74">
          <cell r="D74" t="str">
            <v>Z1-APT</v>
          </cell>
          <cell r="F74">
            <v>11090.2101</v>
          </cell>
          <cell r="G74">
            <v>13411.47855</v>
          </cell>
          <cell r="H74">
            <v>0</v>
          </cell>
          <cell r="I74">
            <v>358.2747</v>
          </cell>
          <cell r="J74">
            <v>397.43549999999993</v>
          </cell>
          <cell r="K74">
            <v>436.59629999999993</v>
          </cell>
          <cell r="L74">
            <v>11090.2101</v>
          </cell>
          <cell r="M74">
            <v>13411.47855</v>
          </cell>
          <cell r="N74">
            <v>0</v>
          </cell>
          <cell r="O74">
            <v>358.2747</v>
          </cell>
          <cell r="P74">
            <v>397.43549999999993</v>
          </cell>
          <cell r="Q74">
            <v>436.59629999999993</v>
          </cell>
          <cell r="R74">
            <v>11090.2101</v>
          </cell>
          <cell r="S74">
            <v>13411.47855</v>
          </cell>
          <cell r="T74">
            <v>74</v>
          </cell>
          <cell r="U74">
            <v>58</v>
          </cell>
          <cell r="V74">
            <v>171</v>
          </cell>
          <cell r="W74">
            <v>0</v>
          </cell>
          <cell r="X74">
            <v>206.68200000000002</v>
          </cell>
          <cell r="Y74">
            <v>413.36400000000003</v>
          </cell>
          <cell r="Z74">
            <v>420.18725986768266</v>
          </cell>
          <cell r="AA74">
            <v>840.37451973536531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269.32499999999999</v>
          </cell>
          <cell r="AK74">
            <v>278.21631353414239</v>
          </cell>
          <cell r="AL74">
            <v>25498</v>
          </cell>
          <cell r="AM74">
            <v>20</v>
          </cell>
          <cell r="AN74">
            <v>12</v>
          </cell>
          <cell r="AO74">
            <v>25</v>
          </cell>
          <cell r="AP74">
            <v>0</v>
          </cell>
        </row>
        <row r="75">
          <cell r="D75" t="str">
            <v>W1,W2-APT</v>
          </cell>
          <cell r="F75">
            <v>15609.044999999998</v>
          </cell>
          <cell r="G75">
            <v>19615.13625</v>
          </cell>
          <cell r="H75">
            <v>142571.06358400351</v>
          </cell>
          <cell r="I75">
            <v>532.57049999999992</v>
          </cell>
          <cell r="J75">
            <v>590.78249999999991</v>
          </cell>
          <cell r="K75">
            <v>648.9944999999999</v>
          </cell>
          <cell r="L75">
            <v>15609.044999999998</v>
          </cell>
          <cell r="M75">
            <v>19615.13625</v>
          </cell>
          <cell r="N75">
            <v>142571.06358400351</v>
          </cell>
          <cell r="O75">
            <v>532.57049999999992</v>
          </cell>
          <cell r="P75">
            <v>590.78249999999991</v>
          </cell>
          <cell r="Q75">
            <v>648.9944999999999</v>
          </cell>
          <cell r="R75">
            <v>15609.044999999998</v>
          </cell>
          <cell r="S75">
            <v>19615.13625</v>
          </cell>
          <cell r="T75">
            <v>110</v>
          </cell>
          <cell r="U75">
            <v>80</v>
          </cell>
          <cell r="V75">
            <v>297</v>
          </cell>
          <cell r="W75">
            <v>1613</v>
          </cell>
          <cell r="X75">
            <v>307.23</v>
          </cell>
          <cell r="Y75">
            <v>614.46</v>
          </cell>
          <cell r="Z75">
            <v>624.60268358709573</v>
          </cell>
          <cell r="AA75">
            <v>1249.2053671741915</v>
          </cell>
          <cell r="AB75">
            <v>3963.1410000000005</v>
          </cell>
          <cell r="AC75">
            <v>4093.9774585946893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467.77499999999998</v>
          </cell>
          <cell r="AK75">
            <v>483.21780771719466</v>
          </cell>
          <cell r="AL75">
            <v>28072</v>
          </cell>
          <cell r="AM75">
            <v>0</v>
          </cell>
          <cell r="AN75">
            <v>0</v>
          </cell>
          <cell r="AO75">
            <v>0</v>
          </cell>
          <cell r="AP75" t="str">
            <v>N/A</v>
          </cell>
        </row>
        <row r="76">
          <cell r="D76" t="str">
            <v>V1,V2,V3-APT</v>
          </cell>
          <cell r="F76">
            <v>26817.42325</v>
          </cell>
          <cell r="G76">
            <v>31409.733499999998</v>
          </cell>
          <cell r="H76">
            <v>0</v>
          </cell>
          <cell r="I76">
            <v>605.19375000000002</v>
          </cell>
          <cell r="J76">
            <v>671.34374999999989</v>
          </cell>
          <cell r="K76">
            <v>737.49374999999986</v>
          </cell>
          <cell r="L76">
            <v>26817.42325</v>
          </cell>
          <cell r="M76">
            <v>31409.733499999998</v>
          </cell>
          <cell r="N76">
            <v>0</v>
          </cell>
          <cell r="O76">
            <v>605.19375000000002</v>
          </cell>
          <cell r="P76">
            <v>671.34374999999989</v>
          </cell>
          <cell r="Q76">
            <v>737.49374999999986</v>
          </cell>
          <cell r="R76">
            <v>26817.42325</v>
          </cell>
          <cell r="S76">
            <v>31409.733499999998</v>
          </cell>
          <cell r="T76">
            <v>125</v>
          </cell>
          <cell r="U76">
            <v>95</v>
          </cell>
          <cell r="V76">
            <v>340</v>
          </cell>
          <cell r="W76">
            <v>0</v>
          </cell>
          <cell r="X76">
            <v>349.125</v>
          </cell>
          <cell r="Y76">
            <v>698.25</v>
          </cell>
          <cell r="Z76">
            <v>709.77577680351783</v>
          </cell>
          <cell r="AA76">
            <v>1419.5515536070357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535.5</v>
          </cell>
          <cell r="AK76">
            <v>553.17863509712515</v>
          </cell>
          <cell r="AL76">
            <v>32065</v>
          </cell>
          <cell r="AM76">
            <v>0</v>
          </cell>
          <cell r="AN76">
            <v>0</v>
          </cell>
          <cell r="AO76">
            <v>0</v>
          </cell>
          <cell r="AP76" t="str">
            <v>N/A</v>
          </cell>
        </row>
        <row r="77">
          <cell r="D77" t="str">
            <v>X1,X2,Q-APT</v>
          </cell>
          <cell r="F77">
            <v>21435.134149999998</v>
          </cell>
          <cell r="G77">
            <v>26453.785637499997</v>
          </cell>
          <cell r="H77">
            <v>0</v>
          </cell>
          <cell r="I77">
            <v>752.86102499999993</v>
          </cell>
          <cell r="J77">
            <v>835.15162499999985</v>
          </cell>
          <cell r="K77">
            <v>917.44222499999978</v>
          </cell>
          <cell r="L77">
            <v>21435.134149999998</v>
          </cell>
          <cell r="M77">
            <v>26453.785637499997</v>
          </cell>
          <cell r="N77">
            <v>0</v>
          </cell>
          <cell r="O77">
            <v>752.86102499999993</v>
          </cell>
          <cell r="P77">
            <v>835.15162499999985</v>
          </cell>
          <cell r="Q77">
            <v>917.44222499999978</v>
          </cell>
          <cell r="R77">
            <v>21435.134149999998</v>
          </cell>
          <cell r="S77">
            <v>26453.785637499997</v>
          </cell>
          <cell r="T77">
            <v>155.5</v>
          </cell>
          <cell r="U77">
            <v>108</v>
          </cell>
          <cell r="V77">
            <v>371.75</v>
          </cell>
          <cell r="W77">
            <v>0</v>
          </cell>
          <cell r="X77">
            <v>434.31150000000002</v>
          </cell>
          <cell r="Y77">
            <v>868.62300000000005</v>
          </cell>
          <cell r="Z77">
            <v>882.96106634357636</v>
          </cell>
          <cell r="AA77">
            <v>1765.9221326871527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585.50625000000002</v>
          </cell>
          <cell r="AK77">
            <v>604.83575763928332</v>
          </cell>
          <cell r="AL77">
            <v>36509</v>
          </cell>
          <cell r="AM77" t="e">
            <v>#N/A</v>
          </cell>
          <cell r="AN77">
            <v>0</v>
          </cell>
          <cell r="AO77">
            <v>0</v>
          </cell>
          <cell r="AP77" t="str">
            <v>N/A</v>
          </cell>
        </row>
        <row r="78">
          <cell r="D78" t="str">
            <v>X1,X2,Q-APT</v>
          </cell>
          <cell r="F78">
            <v>21435.134149999998</v>
          </cell>
          <cell r="G78">
            <v>26453.785637499997</v>
          </cell>
          <cell r="H78">
            <v>0</v>
          </cell>
          <cell r="I78">
            <v>752.86102499999993</v>
          </cell>
          <cell r="J78">
            <v>835.15162499999985</v>
          </cell>
          <cell r="K78">
            <v>917.44222499999978</v>
          </cell>
          <cell r="L78">
            <v>21435.134149999998</v>
          </cell>
          <cell r="M78">
            <v>26453.785637499997</v>
          </cell>
          <cell r="N78">
            <v>0</v>
          </cell>
          <cell r="O78">
            <v>752.86102499999993</v>
          </cell>
          <cell r="P78">
            <v>835.15162499999985</v>
          </cell>
          <cell r="Q78">
            <v>917.44222499999978</v>
          </cell>
          <cell r="R78">
            <v>21435.134149999998</v>
          </cell>
          <cell r="S78">
            <v>26453.785637499997</v>
          </cell>
          <cell r="T78">
            <v>155.5</v>
          </cell>
          <cell r="U78">
            <v>108</v>
          </cell>
          <cell r="V78">
            <v>371.75</v>
          </cell>
          <cell r="W78">
            <v>0</v>
          </cell>
          <cell r="X78">
            <v>434.31150000000002</v>
          </cell>
          <cell r="Y78">
            <v>868.62300000000005</v>
          </cell>
          <cell r="Z78">
            <v>882.96106634357636</v>
          </cell>
          <cell r="AA78">
            <v>1765.9221326871527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585.50625000000002</v>
          </cell>
          <cell r="AK78">
            <v>604.83575763928332</v>
          </cell>
          <cell r="AL78">
            <v>36509</v>
          </cell>
          <cell r="AM78" t="e">
            <v>#N/A</v>
          </cell>
          <cell r="AN78">
            <v>0</v>
          </cell>
          <cell r="AO78">
            <v>0</v>
          </cell>
          <cell r="AP78" t="str">
            <v>N/A</v>
          </cell>
        </row>
        <row r="79">
          <cell r="D79" t="str">
            <v>X1,X2,Q-APT</v>
          </cell>
          <cell r="F79">
            <v>21435.134149999998</v>
          </cell>
          <cell r="G79">
            <v>26453.785637499997</v>
          </cell>
          <cell r="H79">
            <v>0</v>
          </cell>
          <cell r="I79">
            <v>752.86102499999993</v>
          </cell>
          <cell r="J79">
            <v>835.15162499999985</v>
          </cell>
          <cell r="K79">
            <v>917.44222499999978</v>
          </cell>
          <cell r="L79">
            <v>21435.134149999998</v>
          </cell>
          <cell r="M79">
            <v>26453.785637499997</v>
          </cell>
          <cell r="N79">
            <v>0</v>
          </cell>
          <cell r="O79">
            <v>752.86102499999993</v>
          </cell>
          <cell r="P79">
            <v>835.15162499999985</v>
          </cell>
          <cell r="Q79">
            <v>917.44222499999978</v>
          </cell>
          <cell r="R79">
            <v>21435.134149999998</v>
          </cell>
          <cell r="S79">
            <v>26453.785637499997</v>
          </cell>
          <cell r="T79">
            <v>155.5</v>
          </cell>
          <cell r="U79">
            <v>108</v>
          </cell>
          <cell r="V79">
            <v>371.75</v>
          </cell>
          <cell r="W79">
            <v>0</v>
          </cell>
          <cell r="X79">
            <v>434.31150000000002</v>
          </cell>
          <cell r="Y79">
            <v>868.62300000000005</v>
          </cell>
          <cell r="Z79">
            <v>882.96106634357636</v>
          </cell>
          <cell r="AA79">
            <v>1765.9221326871527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585.50625000000002</v>
          </cell>
          <cell r="AK79">
            <v>604.83575763928332</v>
          </cell>
          <cell r="AL79">
            <v>36509</v>
          </cell>
          <cell r="AM79" t="e">
            <v>#N/A</v>
          </cell>
          <cell r="AN79">
            <v>0</v>
          </cell>
          <cell r="AO79">
            <v>0</v>
          </cell>
          <cell r="AP79">
            <v>0</v>
          </cell>
        </row>
        <row r="80"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 t="str">
            <v>N/A</v>
          </cell>
        </row>
        <row r="81">
          <cell r="D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 t="str">
            <v>N/A</v>
          </cell>
        </row>
        <row r="82">
          <cell r="D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 t="str">
            <v>N/A</v>
          </cell>
        </row>
        <row r="83">
          <cell r="D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 t="e">
            <v>#N/A</v>
          </cell>
          <cell r="AN83">
            <v>0</v>
          </cell>
          <cell r="AO83">
            <v>0</v>
          </cell>
          <cell r="AP83" t="str">
            <v>N/A</v>
          </cell>
        </row>
        <row r="84">
          <cell r="D84" t="str">
            <v>FLT</v>
          </cell>
          <cell r="F84">
            <v>10572.101737500001</v>
          </cell>
          <cell r="G84">
            <v>14269.688274999999</v>
          </cell>
          <cell r="H84">
            <v>0</v>
          </cell>
          <cell r="I84">
            <v>763.67891249999968</v>
          </cell>
          <cell r="J84">
            <v>821.75861249999991</v>
          </cell>
          <cell r="K84">
            <v>879.8383124999998</v>
          </cell>
          <cell r="L84">
            <v>10572.101737500001</v>
          </cell>
          <cell r="M84">
            <v>14269.688274999999</v>
          </cell>
          <cell r="N84">
            <v>0</v>
          </cell>
          <cell r="O84">
            <v>763.67891249999968</v>
          </cell>
          <cell r="P84">
            <v>821.75861249999991</v>
          </cell>
          <cell r="Q84">
            <v>879.8383124999998</v>
          </cell>
          <cell r="R84">
            <v>10572.101737500001</v>
          </cell>
          <cell r="S84">
            <v>14269.688274999999</v>
          </cell>
          <cell r="T84">
            <v>109.75</v>
          </cell>
          <cell r="U84">
            <v>0</v>
          </cell>
          <cell r="V84">
            <v>157.983</v>
          </cell>
          <cell r="W84">
            <v>0</v>
          </cell>
          <cell r="X84">
            <v>306.53174999999999</v>
          </cell>
          <cell r="Y84">
            <v>613.06349999999998</v>
          </cell>
          <cell r="Z84">
            <v>316.65138203348869</v>
          </cell>
          <cell r="AA84">
            <v>633.30276406697737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248.82322500000001</v>
          </cell>
          <cell r="AK84">
            <v>257.0377067898504</v>
          </cell>
          <cell r="AL84">
            <v>20660.75</v>
          </cell>
          <cell r="AM84" t="e">
            <v>#N/A</v>
          </cell>
          <cell r="AN84">
            <v>0</v>
          </cell>
          <cell r="AO84">
            <v>0</v>
          </cell>
          <cell r="AP84" t="str">
            <v>N/A</v>
          </cell>
        </row>
        <row r="85">
          <cell r="D85" t="str">
            <v>FLT</v>
          </cell>
          <cell r="F85">
            <v>21446.028225000002</v>
          </cell>
          <cell r="G85">
            <v>28496.461049999998</v>
          </cell>
          <cell r="H85">
            <v>0</v>
          </cell>
          <cell r="I85">
            <v>1406.2825349999996</v>
          </cell>
          <cell r="J85">
            <v>1513.2338549999999</v>
          </cell>
          <cell r="K85">
            <v>1620.1851749999998</v>
          </cell>
          <cell r="L85">
            <v>21446.028225000002</v>
          </cell>
          <cell r="M85">
            <v>28496.461049999998</v>
          </cell>
          <cell r="N85">
            <v>0</v>
          </cell>
          <cell r="O85">
            <v>1406.2825349999996</v>
          </cell>
          <cell r="P85">
            <v>1513.2338549999999</v>
          </cell>
          <cell r="Q85">
            <v>1620.1851749999998</v>
          </cell>
          <cell r="R85">
            <v>21446.028225000002</v>
          </cell>
          <cell r="S85">
            <v>28496.461049999998</v>
          </cell>
          <cell r="T85">
            <v>202.10000000000002</v>
          </cell>
          <cell r="U85">
            <v>0</v>
          </cell>
          <cell r="V85">
            <v>377.23500000000001</v>
          </cell>
          <cell r="W85">
            <v>0</v>
          </cell>
          <cell r="X85">
            <v>564.46530000000007</v>
          </cell>
          <cell r="Y85">
            <v>1128.9306000000001</v>
          </cell>
          <cell r="Z85">
            <v>583.10017593592784</v>
          </cell>
          <cell r="AA85">
            <v>1166.2003518718557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594.14512500000001</v>
          </cell>
          <cell r="AK85">
            <v>613.75983062018827</v>
          </cell>
          <cell r="AL85">
            <v>41895.700000000004</v>
          </cell>
          <cell r="AM85" t="e">
            <v>#N/A</v>
          </cell>
          <cell r="AN85">
            <v>0</v>
          </cell>
          <cell r="AO85">
            <v>0</v>
          </cell>
          <cell r="AP85" t="str">
            <v>N/A</v>
          </cell>
        </row>
        <row r="86">
          <cell r="D86" t="str">
            <v>FLT</v>
          </cell>
          <cell r="F86">
            <v>9397.8377499999988</v>
          </cell>
          <cell r="G86">
            <v>12372.808600624998</v>
          </cell>
          <cell r="H86">
            <v>0</v>
          </cell>
          <cell r="I86">
            <v>591.45974999999976</v>
          </cell>
          <cell r="J86">
            <v>636.44174999999996</v>
          </cell>
          <cell r="K86">
            <v>681.42374999999981</v>
          </cell>
          <cell r="L86">
            <v>9397.8377499999988</v>
          </cell>
          <cell r="M86">
            <v>12372.808600624998</v>
          </cell>
          <cell r="N86">
            <v>0</v>
          </cell>
          <cell r="O86">
            <v>591.45974999999976</v>
          </cell>
          <cell r="P86">
            <v>636.44174999999996</v>
          </cell>
          <cell r="Q86">
            <v>681.42374999999981</v>
          </cell>
          <cell r="R86">
            <v>9397.8377499999988</v>
          </cell>
          <cell r="S86">
            <v>12372.808600624998</v>
          </cell>
          <cell r="T86">
            <v>85</v>
          </cell>
          <cell r="U86">
            <v>0</v>
          </cell>
          <cell r="V86">
            <v>151.44999999999999</v>
          </cell>
          <cell r="W86">
            <v>0</v>
          </cell>
          <cell r="X86">
            <v>237.405</v>
          </cell>
          <cell r="Y86">
            <v>474.81</v>
          </cell>
          <cell r="Z86">
            <v>245.24252822639218</v>
          </cell>
          <cell r="AA86">
            <v>490.48505645278436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238.53374999999997</v>
          </cell>
          <cell r="AK86">
            <v>246.40854201605765</v>
          </cell>
          <cell r="AL86">
            <v>17440.313000000002</v>
          </cell>
          <cell r="AM86" t="e">
            <v>#N/A</v>
          </cell>
          <cell r="AN86">
            <v>0</v>
          </cell>
          <cell r="AO86">
            <v>0</v>
          </cell>
          <cell r="AP86" t="str">
            <v>N/A</v>
          </cell>
        </row>
        <row r="87">
          <cell r="D87" t="str">
            <v>FLT</v>
          </cell>
          <cell r="F87">
            <v>4257.2685750000001</v>
          </cell>
          <cell r="G87">
            <v>5631.1271624999999</v>
          </cell>
          <cell r="H87">
            <v>0</v>
          </cell>
          <cell r="I87">
            <v>260.9381249999999</v>
          </cell>
          <cell r="J87">
            <v>280.78312499999993</v>
          </cell>
          <cell r="K87">
            <v>300.62812499999995</v>
          </cell>
          <cell r="L87">
            <v>4257.2685750000001</v>
          </cell>
          <cell r="M87">
            <v>5631.1271624999999</v>
          </cell>
          <cell r="N87">
            <v>0</v>
          </cell>
          <cell r="O87">
            <v>260.9381249999999</v>
          </cell>
          <cell r="P87">
            <v>280.78312499999993</v>
          </cell>
          <cell r="Q87">
            <v>300.62812499999995</v>
          </cell>
          <cell r="R87">
            <v>4257.2685750000001</v>
          </cell>
          <cell r="S87">
            <v>5631.1271624999999</v>
          </cell>
          <cell r="T87">
            <v>37.5</v>
          </cell>
          <cell r="U87">
            <v>0</v>
          </cell>
          <cell r="V87">
            <v>69</v>
          </cell>
          <cell r="W87">
            <v>0</v>
          </cell>
          <cell r="X87">
            <v>104.73750000000001</v>
          </cell>
          <cell r="Y87">
            <v>209.47500000000002</v>
          </cell>
          <cell r="Z87">
            <v>108.19523304105539</v>
          </cell>
          <cell r="AA87">
            <v>216.39046608211078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108.675</v>
          </cell>
          <cell r="AK87">
            <v>112.26272300500482</v>
          </cell>
          <cell r="AL87">
            <v>7851.3600000000006</v>
          </cell>
          <cell r="AM87" t="e">
            <v>#N/A</v>
          </cell>
          <cell r="AN87">
            <v>0</v>
          </cell>
          <cell r="AO87">
            <v>0</v>
          </cell>
          <cell r="AP87" t="str">
            <v>N/A</v>
          </cell>
        </row>
        <row r="88"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 t="e">
            <v>#N/A</v>
          </cell>
          <cell r="AN88">
            <v>0</v>
          </cell>
          <cell r="AO88">
            <v>0</v>
          </cell>
          <cell r="AP88" t="str">
            <v>N/A</v>
          </cell>
        </row>
        <row r="89">
          <cell r="D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 t="e">
            <v>#N/A</v>
          </cell>
          <cell r="AN89">
            <v>0</v>
          </cell>
          <cell r="AO89">
            <v>0</v>
          </cell>
          <cell r="AP89" t="str">
            <v>N/A</v>
          </cell>
        </row>
        <row r="90">
          <cell r="D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 t="e">
            <v>#N/A</v>
          </cell>
          <cell r="AN90">
            <v>0</v>
          </cell>
          <cell r="AO90">
            <v>0</v>
          </cell>
          <cell r="AP90" t="str">
            <v>N/A</v>
          </cell>
        </row>
        <row r="91">
          <cell r="D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 t="e">
            <v>#N/A</v>
          </cell>
          <cell r="AN91">
            <v>0</v>
          </cell>
          <cell r="AO91">
            <v>0</v>
          </cell>
          <cell r="AP91" t="str">
            <v>N/A</v>
          </cell>
        </row>
        <row r="92"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 t="e">
            <v>#N/A</v>
          </cell>
          <cell r="AN92">
            <v>0</v>
          </cell>
          <cell r="AO92">
            <v>0</v>
          </cell>
          <cell r="AP92" t="str">
            <v>N/A</v>
          </cell>
        </row>
        <row r="93">
          <cell r="D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 t="e">
            <v>#N/A</v>
          </cell>
          <cell r="AN93">
            <v>0</v>
          </cell>
          <cell r="AO93">
            <v>0</v>
          </cell>
          <cell r="AP93" t="str">
            <v>N/A</v>
          </cell>
        </row>
        <row r="94"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 t="e">
            <v>#N/A</v>
          </cell>
          <cell r="AN94">
            <v>0</v>
          </cell>
          <cell r="AO94">
            <v>0</v>
          </cell>
          <cell r="AP94" t="str">
            <v>N/A</v>
          </cell>
        </row>
        <row r="95"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 t="e">
            <v>#N/A</v>
          </cell>
          <cell r="AN95">
            <v>0</v>
          </cell>
          <cell r="AO95">
            <v>0</v>
          </cell>
          <cell r="AP95" t="str">
            <v>N/A</v>
          </cell>
        </row>
        <row r="96">
          <cell r="D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 t="str">
            <v>N/A</v>
          </cell>
        </row>
        <row r="97"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 t="e">
            <v>#N/A</v>
          </cell>
          <cell r="AN97">
            <v>0</v>
          </cell>
          <cell r="AO97">
            <v>0</v>
          </cell>
          <cell r="AP97">
            <v>0</v>
          </cell>
        </row>
        <row r="98">
          <cell r="D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 t="e">
            <v>#N/A</v>
          </cell>
          <cell r="AN98">
            <v>0</v>
          </cell>
          <cell r="AO98">
            <v>0</v>
          </cell>
          <cell r="AP98">
            <v>9.67</v>
          </cell>
        </row>
        <row r="99">
          <cell r="D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 t="e">
            <v>#N/A</v>
          </cell>
          <cell r="AN99">
            <v>0</v>
          </cell>
          <cell r="AO99">
            <v>0</v>
          </cell>
          <cell r="AP99">
            <v>6.66</v>
          </cell>
        </row>
        <row r="100">
          <cell r="D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 t="e">
            <v>#N/A</v>
          </cell>
          <cell r="AN100">
            <v>0</v>
          </cell>
          <cell r="AO100">
            <v>0</v>
          </cell>
          <cell r="AP100">
            <v>9.5500000000000007</v>
          </cell>
        </row>
        <row r="101"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 t="e">
            <v>#N/A</v>
          </cell>
          <cell r="AN101">
            <v>0</v>
          </cell>
          <cell r="AO101">
            <v>0</v>
          </cell>
          <cell r="AP101">
            <v>6.03</v>
          </cell>
        </row>
        <row r="102">
          <cell r="D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 t="e">
            <v>#N/A</v>
          </cell>
          <cell r="AN102">
            <v>0</v>
          </cell>
          <cell r="AO102">
            <v>0</v>
          </cell>
          <cell r="AP102">
            <v>9.5500000000000007</v>
          </cell>
        </row>
        <row r="103">
          <cell r="D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6.03</v>
          </cell>
        </row>
        <row r="104">
          <cell r="D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 t="e">
            <v>#N/A</v>
          </cell>
          <cell r="AN104">
            <v>0</v>
          </cell>
          <cell r="AO104">
            <v>0</v>
          </cell>
          <cell r="AP104">
            <v>0</v>
          </cell>
        </row>
        <row r="105">
          <cell r="D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 t="e">
            <v>#N/A</v>
          </cell>
          <cell r="AN105">
            <v>0</v>
          </cell>
          <cell r="AO105">
            <v>0</v>
          </cell>
          <cell r="AP105">
            <v>31.36</v>
          </cell>
        </row>
        <row r="106"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 t="e">
            <v>#N/A</v>
          </cell>
          <cell r="AN106">
            <v>0</v>
          </cell>
          <cell r="AO106">
            <v>0</v>
          </cell>
          <cell r="AP106">
            <v>36.769999999999996</v>
          </cell>
        </row>
        <row r="107">
          <cell r="D107" t="str">
            <v>GAR/1</v>
          </cell>
          <cell r="F107">
            <v>2407.6232300000001</v>
          </cell>
          <cell r="G107">
            <v>2811.3801700000004</v>
          </cell>
          <cell r="H107">
            <v>0</v>
          </cell>
          <cell r="I107">
            <v>178.16903999999997</v>
          </cell>
          <cell r="J107">
            <v>197.64359999999996</v>
          </cell>
          <cell r="K107">
            <v>217.11815999999993</v>
          </cell>
          <cell r="L107">
            <v>2407.6232300000001</v>
          </cell>
          <cell r="M107">
            <v>2811.3801700000004</v>
          </cell>
          <cell r="N107">
            <v>0</v>
          </cell>
          <cell r="O107">
            <v>178.16903999999997</v>
          </cell>
          <cell r="P107">
            <v>197.64359999999996</v>
          </cell>
          <cell r="Q107">
            <v>217.11815999999993</v>
          </cell>
          <cell r="R107">
            <v>2407.6232300000001</v>
          </cell>
          <cell r="S107">
            <v>2811.3801700000004</v>
          </cell>
          <cell r="T107">
            <v>36.799999999999997</v>
          </cell>
          <cell r="U107">
            <v>24.4</v>
          </cell>
          <cell r="V107">
            <v>35</v>
          </cell>
          <cell r="W107">
            <v>0</v>
          </cell>
          <cell r="X107">
            <v>102.7824</v>
          </cell>
          <cell r="Y107">
            <v>205.56479999999999</v>
          </cell>
          <cell r="Z107">
            <v>208.95798869095566</v>
          </cell>
          <cell r="AA107">
            <v>417.91597738191132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55.125</v>
          </cell>
          <cell r="AK107">
            <v>56.944859495292299</v>
          </cell>
          <cell r="AL107">
            <v>5143.6000000000004</v>
          </cell>
          <cell r="AM107">
            <v>0</v>
          </cell>
          <cell r="AN107">
            <v>0</v>
          </cell>
          <cell r="AO107">
            <v>0</v>
          </cell>
          <cell r="AP107">
            <v>36.1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tion"/>
      <sheetName val="Summary"/>
      <sheetName val=" Land Analysis"/>
      <sheetName val="Profitability"/>
      <sheetName val="Breakdown"/>
      <sheetName val="Hs Bld Breakdown"/>
      <sheetName val="Revisions"/>
      <sheetName val="Statistics"/>
      <sheetName val="Housebuild"/>
      <sheetName val="Build Cost"/>
      <sheetName val="Garages"/>
      <sheetName val="Schedule"/>
      <sheetName val="Plot Schedule"/>
      <sheetName val="Measurement"/>
      <sheetName val="Filling etc."/>
      <sheetName val="Abnormal Founds Summary"/>
      <sheetName val="Fence &amp; Landscape"/>
      <sheetName val="Retaining Walls"/>
      <sheetName val="Drainage"/>
      <sheetName val="Data"/>
      <sheetName val="BCIS Cost Index"/>
      <sheetName val="NE Hs Bld Data"/>
      <sheetName val="House Pool MCR Summary"/>
      <sheetName val="House Pool MCR"/>
      <sheetName val="HB Input"/>
      <sheetName val="Report"/>
      <sheetName val="Programme"/>
      <sheetName val="NHBC"/>
      <sheetName val="Notes"/>
      <sheetName val="Sheet1"/>
      <sheetName val="House Pool NW"/>
      <sheetName val="HB Summary"/>
      <sheetName val="Old Types"/>
      <sheetName val="Flat pool TBA"/>
      <sheetName val="Journal"/>
      <sheetName val="Cash flow"/>
      <sheetName val="Transposed C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 SHEET"/>
      <sheetName val="Qualifications"/>
      <sheetName val="HALIFAX CWS OVERAGE CALC"/>
      <sheetName val="HOUSE ANALYSIS"/>
      <sheetName val="Summary"/>
      <sheetName val="800 Land"/>
      <sheetName val="100 Preliminaries"/>
      <sheetName val="200 Roads and Sewers"/>
      <sheetName val="Substructure Build Up"/>
      <sheetName val="300 Substructures"/>
      <sheetName val="400 Superstructures"/>
      <sheetName val="500 Externals"/>
      <sheetName val="600 Development Expenses"/>
      <sheetName val="700 Selling Expenses"/>
      <sheetName val="PH 2 ORIGINAL BUDGET v  ML 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69">
          <cell r="M69">
            <v>908205.69668976136</v>
          </cell>
        </row>
      </sheetData>
      <sheetData sheetId="14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Open Market Housing"/>
    </sheetNames>
    <sheetDataSet>
      <sheetData sheetId="0" refreshError="1">
        <row r="2">
          <cell r="A2" t="str">
            <v>P332 (open market)</v>
          </cell>
          <cell r="B2" t="str">
            <v>3</v>
          </cell>
        </row>
      </sheetData>
      <sheetData sheetId="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W DRAINAGE"/>
      <sheetName val="BidScreen XL Drawing Data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1drv.ms/u/s!Aqn1RsZvM4igg58zRvu_00deVcL7Xw?e=xSFre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66"/>
  <sheetViews>
    <sheetView tabSelected="1" topLeftCell="A7" workbookViewId="0">
      <selection activeCell="H3" sqref="H3"/>
    </sheetView>
  </sheetViews>
  <sheetFormatPr baseColWidth="10" defaultColWidth="8.83203125" defaultRowHeight="15"/>
  <cols>
    <col min="1" max="1" width="4" customWidth="1"/>
    <col min="2" max="2" width="4.83203125" customWidth="1"/>
    <col min="7" max="7" width="15.1640625" customWidth="1"/>
    <col min="8" max="8" width="6.5" customWidth="1"/>
    <col min="9" max="9" width="6.33203125" customWidth="1"/>
    <col min="10" max="10" width="14.33203125" customWidth="1"/>
    <col min="11" max="11" width="16.1640625" hidden="1" customWidth="1"/>
    <col min="12" max="19" width="13.33203125" hidden="1" customWidth="1"/>
  </cols>
  <sheetData>
    <row r="1" spans="1:19" s="1" customFormat="1"/>
    <row r="2" spans="1:19" s="1" customFormat="1" ht="24">
      <c r="B2" s="73" t="s">
        <v>690</v>
      </c>
      <c r="G2" s="49" t="s">
        <v>33</v>
      </c>
      <c r="H2" s="1045">
        <v>45453</v>
      </c>
      <c r="I2" s="1045"/>
      <c r="J2" s="49" t="s">
        <v>949</v>
      </c>
      <c r="K2" s="49"/>
      <c r="S2" s="49"/>
    </row>
    <row r="3" spans="1:19" s="1" customFormat="1">
      <c r="B3" s="1" t="s">
        <v>671</v>
      </c>
      <c r="H3" s="1" t="s">
        <v>34</v>
      </c>
    </row>
    <row r="4" spans="1:19" s="1" customFormat="1">
      <c r="B4" s="1" t="s">
        <v>917</v>
      </c>
    </row>
    <row r="5" spans="1:19" s="1" customFormat="1" ht="14.25" customHeight="1">
      <c r="A5" s="1046" t="s">
        <v>0</v>
      </c>
      <c r="B5" s="1054" t="s">
        <v>1</v>
      </c>
      <c r="C5" s="1055"/>
      <c r="D5" s="1055"/>
      <c r="E5" s="1055"/>
      <c r="F5" s="1056"/>
      <c r="G5" s="1046" t="s">
        <v>6</v>
      </c>
      <c r="H5" s="1046" t="s">
        <v>5</v>
      </c>
      <c r="I5" s="1046" t="s">
        <v>2</v>
      </c>
      <c r="J5" s="1046" t="s">
        <v>3</v>
      </c>
      <c r="K5" s="195"/>
      <c r="L5" s="1049" t="s">
        <v>228</v>
      </c>
      <c r="M5" s="1050"/>
      <c r="N5" s="1050"/>
      <c r="O5" s="1050"/>
      <c r="P5" s="1050"/>
      <c r="Q5" s="1050"/>
      <c r="R5" s="1050"/>
      <c r="S5" s="1051"/>
    </row>
    <row r="6" spans="1:19" s="1" customFormat="1" ht="14.25" customHeight="1">
      <c r="A6" s="1047"/>
      <c r="B6" s="1057"/>
      <c r="C6" s="1058"/>
      <c r="D6" s="1058"/>
      <c r="E6" s="1058"/>
      <c r="F6" s="1059"/>
      <c r="G6" s="1047"/>
      <c r="H6" s="1047"/>
      <c r="I6" s="1047"/>
      <c r="J6" s="1047"/>
      <c r="K6" s="195"/>
      <c r="L6" s="1052" t="s">
        <v>604</v>
      </c>
      <c r="M6" s="1053"/>
      <c r="N6" s="1052"/>
      <c r="O6" s="1053"/>
      <c r="P6" s="1046"/>
      <c r="Q6" s="1063"/>
      <c r="R6" s="1063"/>
      <c r="S6" s="1063"/>
    </row>
    <row r="7" spans="1:19" ht="15" customHeight="1">
      <c r="A7" s="1047"/>
      <c r="B7" s="1057"/>
      <c r="C7" s="1058"/>
      <c r="D7" s="1058"/>
      <c r="E7" s="1058"/>
      <c r="F7" s="1059"/>
      <c r="G7" s="1047"/>
      <c r="H7" s="1047"/>
      <c r="I7" s="1047"/>
      <c r="J7" s="1047"/>
      <c r="K7" s="195"/>
      <c r="L7" s="715" t="s">
        <v>749</v>
      </c>
      <c r="M7" s="715" t="s">
        <v>770</v>
      </c>
      <c r="N7" s="715" t="s">
        <v>607</v>
      </c>
      <c r="O7" s="715" t="s">
        <v>607</v>
      </c>
      <c r="P7" s="1047"/>
      <c r="Q7" s="1064"/>
      <c r="R7" s="1064"/>
      <c r="S7" s="1064"/>
    </row>
    <row r="8" spans="1:19" ht="15" customHeight="1">
      <c r="A8" s="1047"/>
      <c r="B8" s="1057"/>
      <c r="C8" s="1058"/>
      <c r="D8" s="1058"/>
      <c r="E8" s="1058"/>
      <c r="F8" s="1059"/>
      <c r="G8" s="1047"/>
      <c r="H8" s="1047"/>
      <c r="I8" s="1047"/>
      <c r="J8" s="1047"/>
      <c r="K8" s="243" t="s">
        <v>232</v>
      </c>
      <c r="L8" s="716">
        <f>'Dwelling Mix'!P90-'Breakdown Summary'!L9</f>
        <v>302</v>
      </c>
      <c r="M8" s="716">
        <f>'Dwelling Mix'!S90-'Breakdown Summary'!M9</f>
        <v>143</v>
      </c>
      <c r="N8" s="716">
        <f>'Dwelling Mix'!V90-N9</f>
        <v>0</v>
      </c>
      <c r="O8" s="716">
        <f>'Dwelling Mix'!Y90-O9</f>
        <v>0</v>
      </c>
      <c r="P8" s="1047"/>
      <c r="Q8" s="1064"/>
      <c r="R8" s="1064"/>
      <c r="S8" s="1064"/>
    </row>
    <row r="9" spans="1:19" ht="15" customHeight="1">
      <c r="A9" s="1047"/>
      <c r="B9" s="1057"/>
      <c r="C9" s="1058"/>
      <c r="D9" s="1058"/>
      <c r="E9" s="1058"/>
      <c r="F9" s="1059"/>
      <c r="G9" s="1047"/>
      <c r="H9" s="1047"/>
      <c r="I9" s="1047"/>
      <c r="J9" s="1047"/>
      <c r="K9" s="243" t="s">
        <v>233</v>
      </c>
      <c r="L9" s="717">
        <f>SUM('Dwelling Mix'!P87:P88)</f>
        <v>0</v>
      </c>
      <c r="M9" s="717">
        <f>SUM('Dwelling Mix'!S87:S88)</f>
        <v>0</v>
      </c>
      <c r="N9" s="717">
        <f>SUM('Dwelling Mix'!V87:V88)</f>
        <v>0</v>
      </c>
      <c r="O9" s="717">
        <f>SUM('Dwelling Mix'!Y87:Y88)</f>
        <v>0</v>
      </c>
      <c r="P9" s="1047"/>
      <c r="Q9" s="1064"/>
      <c r="R9" s="1064"/>
      <c r="S9" s="1064"/>
    </row>
    <row r="10" spans="1:19" ht="15" customHeight="1">
      <c r="A10" s="1047"/>
      <c r="B10" s="1057"/>
      <c r="C10" s="1058"/>
      <c r="D10" s="1058"/>
      <c r="E10" s="1058"/>
      <c r="F10" s="1059"/>
      <c r="G10" s="1047"/>
      <c r="H10" s="1047"/>
      <c r="I10" s="1047"/>
      <c r="J10" s="1047"/>
      <c r="K10" s="243" t="s">
        <v>234</v>
      </c>
      <c r="L10" s="718">
        <f>'Dwelling Mix'!O90</f>
        <v>309398</v>
      </c>
      <c r="M10" s="718">
        <f>'Dwelling Mix'!R90</f>
        <v>164228</v>
      </c>
      <c r="N10" s="718">
        <f>'Dwelling Mix'!U90</f>
        <v>0</v>
      </c>
      <c r="O10" s="718">
        <f>'Dwelling Mix'!X90</f>
        <v>0</v>
      </c>
      <c r="P10" s="1048"/>
      <c r="Q10" s="1065"/>
      <c r="R10" s="1065"/>
      <c r="S10" s="1065"/>
    </row>
    <row r="11" spans="1:19" ht="15" customHeight="1">
      <c r="A11" s="1047"/>
      <c r="B11" s="1057"/>
      <c r="C11" s="1058"/>
      <c r="D11" s="1058"/>
      <c r="E11" s="1058"/>
      <c r="F11" s="1059"/>
      <c r="G11" s="1047"/>
      <c r="H11" s="1047"/>
      <c r="I11" s="1047"/>
      <c r="J11" s="1047"/>
      <c r="K11" s="243"/>
      <c r="L11" s="719"/>
      <c r="M11" s="719"/>
      <c r="N11" s="719"/>
      <c r="O11" s="719"/>
      <c r="P11" s="715"/>
      <c r="Q11" s="235"/>
      <c r="R11" s="235"/>
      <c r="S11" s="235"/>
    </row>
    <row r="12" spans="1:19" ht="15" customHeight="1">
      <c r="A12" s="1047"/>
      <c r="B12" s="1057"/>
      <c r="C12" s="1058"/>
      <c r="D12" s="1058"/>
      <c r="E12" s="1058"/>
      <c r="F12" s="1059"/>
      <c r="G12" s="1047"/>
      <c r="H12" s="1047"/>
      <c r="I12" s="1047"/>
      <c r="J12" s="1047"/>
      <c r="K12" s="243" t="s">
        <v>231</v>
      </c>
      <c r="L12" s="719">
        <f>'Dwelling Mix'!O94</f>
        <v>19.928803756796839</v>
      </c>
      <c r="M12" s="719">
        <f>'Dwelling Mix'!R94</f>
        <v>0.21008403361344463</v>
      </c>
      <c r="N12" s="719">
        <f>'Dwelling Mix'!U94</f>
        <v>0</v>
      </c>
      <c r="O12" s="719">
        <f>'Dwelling Mix'!X94</f>
        <v>0</v>
      </c>
      <c r="P12" s="715"/>
      <c r="Q12" s="235"/>
      <c r="R12" s="235"/>
      <c r="S12" s="235"/>
    </row>
    <row r="13" spans="1:19" s="1" customFormat="1" ht="28" customHeight="1">
      <c r="A13" s="1048"/>
      <c r="B13" s="1060"/>
      <c r="C13" s="1061"/>
      <c r="D13" s="1061"/>
      <c r="E13" s="1061"/>
      <c r="F13" s="1062"/>
      <c r="G13" s="1048"/>
      <c r="H13" s="1048"/>
      <c r="I13" s="1048"/>
      <c r="J13" s="1048"/>
      <c r="K13" s="243" t="s">
        <v>230</v>
      </c>
      <c r="L13" s="719">
        <f>'Dwelling Mix'!O95</f>
        <v>19.11</v>
      </c>
      <c r="M13" s="719">
        <f>'Dwelling Mix'!R95</f>
        <v>10.009886307464162</v>
      </c>
      <c r="N13" s="719">
        <f>'Dwelling Mix'!U95</f>
        <v>0</v>
      </c>
      <c r="O13" s="719">
        <f>'Dwelling Mix'!X95</f>
        <v>0</v>
      </c>
      <c r="P13" s="720"/>
      <c r="Q13" s="60"/>
      <c r="R13" s="61"/>
      <c r="S13" s="61"/>
    </row>
    <row r="14" spans="1:19">
      <c r="A14" s="16"/>
      <c r="B14" s="3"/>
      <c r="C14" s="4"/>
      <c r="D14" s="4"/>
      <c r="E14" s="4"/>
      <c r="F14" s="5"/>
      <c r="G14" s="11"/>
      <c r="H14" s="12"/>
      <c r="I14" s="21"/>
      <c r="J14" s="12"/>
      <c r="K14" s="21"/>
      <c r="L14" s="3"/>
      <c r="M14" s="58"/>
      <c r="N14" s="58"/>
      <c r="O14" s="58"/>
      <c r="P14" s="4"/>
      <c r="Q14" s="58"/>
      <c r="R14" s="58"/>
      <c r="S14" s="5"/>
    </row>
    <row r="15" spans="1:19">
      <c r="A15" s="19" t="s">
        <v>10</v>
      </c>
      <c r="B15" s="20" t="s">
        <v>9</v>
      </c>
      <c r="F15" s="7"/>
      <c r="G15" s="11"/>
      <c r="H15" s="13"/>
      <c r="I15" s="21"/>
      <c r="J15" s="13"/>
      <c r="K15" s="21"/>
      <c r="L15" s="6"/>
      <c r="M15" s="2"/>
      <c r="N15" s="2"/>
      <c r="O15" s="2"/>
      <c r="Q15" s="2"/>
      <c r="R15" s="2"/>
      <c r="S15" s="721"/>
    </row>
    <row r="16" spans="1:19">
      <c r="A16" s="17"/>
      <c r="B16" s="6"/>
      <c r="F16" s="7"/>
      <c r="G16" s="11"/>
      <c r="H16" s="13"/>
      <c r="I16" s="21"/>
      <c r="J16" s="13"/>
      <c r="K16" s="21"/>
      <c r="L16" s="6"/>
      <c r="M16" s="2"/>
      <c r="N16" s="2"/>
      <c r="O16" s="2"/>
      <c r="Q16" s="2"/>
      <c r="R16" s="2"/>
      <c r="S16" s="721"/>
    </row>
    <row r="17" spans="1:19">
      <c r="A17" s="17">
        <v>1</v>
      </c>
      <c r="B17" s="6" t="str">
        <f>'1. Affordable'!B15</f>
        <v>Affordable</v>
      </c>
      <c r="F17" s="7"/>
      <c r="G17" s="11"/>
      <c r="H17" s="13"/>
      <c r="I17" s="21"/>
      <c r="J17" s="46"/>
      <c r="K17" s="201"/>
      <c r="L17" s="6"/>
      <c r="M17" s="2"/>
      <c r="N17" s="2"/>
      <c r="O17" s="2"/>
      <c r="Q17" s="2"/>
      <c r="R17" s="2"/>
      <c r="S17" s="721"/>
    </row>
    <row r="18" spans="1:19">
      <c r="A18" s="17"/>
      <c r="B18" s="6"/>
      <c r="F18" s="7"/>
      <c r="G18" s="11"/>
      <c r="H18" s="13"/>
      <c r="I18" s="21"/>
      <c r="J18" s="13"/>
      <c r="K18" s="21"/>
      <c r="L18" s="6"/>
      <c r="M18" s="2"/>
      <c r="N18" s="2"/>
      <c r="O18" s="2"/>
      <c r="Q18" s="2"/>
      <c r="R18" s="2"/>
      <c r="S18" s="721"/>
    </row>
    <row r="19" spans="1:19">
      <c r="A19" s="17">
        <v>2</v>
      </c>
      <c r="B19" s="6" t="str">
        <f>'2. CIL'!A3</f>
        <v>CIL Calculation</v>
      </c>
      <c r="F19" s="7"/>
      <c r="G19" s="11"/>
      <c r="H19" s="13"/>
      <c r="I19" s="21"/>
      <c r="J19" s="652">
        <f>'2. CIL'!H26</f>
        <v>0</v>
      </c>
      <c r="K19" s="201"/>
      <c r="L19" s="656">
        <f>J19</f>
        <v>0</v>
      </c>
      <c r="M19" s="657"/>
      <c r="N19" s="657"/>
      <c r="O19" s="657"/>
      <c r="P19" s="658"/>
      <c r="Q19" s="657"/>
      <c r="R19" s="657"/>
      <c r="S19" s="657"/>
    </row>
    <row r="20" spans="1:19">
      <c r="A20" s="17"/>
      <c r="B20" s="6"/>
      <c r="F20" s="7"/>
      <c r="G20" s="11"/>
      <c r="H20" s="13"/>
      <c r="I20" s="21"/>
      <c r="J20" s="652"/>
      <c r="K20" s="201"/>
      <c r="L20" s="656"/>
      <c r="M20" s="657"/>
      <c r="N20" s="657"/>
      <c r="O20" s="657"/>
      <c r="P20" s="658"/>
      <c r="Q20" s="657"/>
      <c r="R20" s="657"/>
      <c r="S20" s="657"/>
    </row>
    <row r="21" spans="1:19">
      <c r="A21" s="17">
        <v>3</v>
      </c>
      <c r="B21" s="6" t="str">
        <f>'3. S106'!B10</f>
        <v>Section 106</v>
      </c>
      <c r="F21" s="7"/>
      <c r="G21" s="11"/>
      <c r="H21" s="13"/>
      <c r="I21" s="21"/>
      <c r="J21" s="652">
        <f>'3. S106'!J32</f>
        <v>0</v>
      </c>
      <c r="K21" s="201"/>
      <c r="L21" s="659">
        <f>'3. S106'!L32</f>
        <v>0</v>
      </c>
      <c r="M21" s="659">
        <f>'3. S106'!M32</f>
        <v>0</v>
      </c>
      <c r="N21" s="660">
        <f>'3. S106'!N32</f>
        <v>0</v>
      </c>
      <c r="O21" s="659">
        <f>'3. S106'!O32</f>
        <v>0</v>
      </c>
      <c r="P21" s="659">
        <f>'3. S106'!P32</f>
        <v>0</v>
      </c>
      <c r="Q21" s="659">
        <f>'3. S106'!Q32</f>
        <v>0</v>
      </c>
      <c r="R21" s="659">
        <f>'3. S106'!R32</f>
        <v>0</v>
      </c>
      <c r="S21" s="660">
        <f>'3. S106'!S32</f>
        <v>0</v>
      </c>
    </row>
    <row r="22" spans="1:19" ht="14.5" customHeight="1">
      <c r="A22" s="17"/>
      <c r="B22" s="28"/>
      <c r="C22" s="29"/>
      <c r="D22" s="29"/>
      <c r="E22" s="29"/>
      <c r="F22" s="37"/>
      <c r="G22" s="11"/>
      <c r="H22" s="13"/>
      <c r="I22" s="21"/>
      <c r="J22" s="652"/>
      <c r="K22" s="21"/>
      <c r="L22" s="656"/>
      <c r="M22" s="657"/>
      <c r="N22" s="657"/>
      <c r="O22" s="657"/>
      <c r="P22" s="658"/>
      <c r="Q22" s="657"/>
      <c r="R22" s="657"/>
      <c r="S22" s="657"/>
    </row>
    <row r="23" spans="1:19" ht="14.5" customHeight="1">
      <c r="A23" s="17">
        <v>4</v>
      </c>
      <c r="B23" s="28" t="str">
        <f>'4. Off Site Wks'!B10</f>
        <v>Off Site Works</v>
      </c>
      <c r="C23" s="29"/>
      <c r="D23" s="29"/>
      <c r="E23" s="29"/>
      <c r="F23" s="37"/>
      <c r="G23" s="11"/>
      <c r="H23" s="13"/>
      <c r="I23" s="21"/>
      <c r="J23" s="652">
        <f>'4. Off Site Wks'!J66</f>
        <v>1917340.8726106626</v>
      </c>
      <c r="K23" s="201"/>
      <c r="L23" s="659">
        <f>'4. Off Site Wks'!L66</f>
        <v>1258259.86024533</v>
      </c>
      <c r="M23" s="659">
        <f>'4. Off Site Wks'!M66</f>
        <v>659081.01236533234</v>
      </c>
      <c r="N23" s="660">
        <f>'4. Off Site Wks'!N66</f>
        <v>0</v>
      </c>
      <c r="O23" s="659">
        <f>'4. Off Site Wks'!O66</f>
        <v>0</v>
      </c>
      <c r="P23" s="659">
        <f>'4. Off Site Wks'!P66</f>
        <v>0</v>
      </c>
      <c r="Q23" s="659">
        <f>'4. Off Site Wks'!Q66</f>
        <v>0</v>
      </c>
      <c r="R23" s="659">
        <f>'4. Off Site Wks'!R66</f>
        <v>0</v>
      </c>
      <c r="S23" s="660">
        <f>'4. Off Site Wks'!S66</f>
        <v>0</v>
      </c>
    </row>
    <row r="24" spans="1:19" ht="14.5" customHeight="1">
      <c r="A24" s="17"/>
      <c r="B24" s="28"/>
      <c r="C24" s="29"/>
      <c r="D24" s="29"/>
      <c r="E24" s="29"/>
      <c r="F24" s="37"/>
      <c r="G24" s="11"/>
      <c r="H24" s="13"/>
      <c r="I24" s="21"/>
      <c r="J24" s="652"/>
      <c r="K24" s="201"/>
      <c r="L24" s="656"/>
      <c r="M24" s="657"/>
      <c r="N24" s="657"/>
      <c r="O24" s="657"/>
      <c r="P24" s="658"/>
      <c r="Q24" s="657"/>
      <c r="R24" s="657"/>
      <c r="S24" s="657"/>
    </row>
    <row r="25" spans="1:19">
      <c r="A25" s="17">
        <v>5</v>
      </c>
      <c r="B25" s="28" t="str">
        <f>'5. Cut &amp; Fill'!B10</f>
        <v>Cut &amp; Fill</v>
      </c>
      <c r="C25" s="30"/>
      <c r="D25" s="30"/>
      <c r="E25" s="38"/>
      <c r="F25" s="39"/>
      <c r="G25" s="11"/>
      <c r="H25" s="13"/>
      <c r="I25" s="21"/>
      <c r="J25" s="652">
        <f>'5. Cut &amp; Fill'!J63</f>
        <v>3723198.1651470587</v>
      </c>
      <c r="K25" s="201"/>
      <c r="L25" s="659">
        <f>'5. Cut &amp; Fill'!L63</f>
        <v>2443358.335424636</v>
      </c>
      <c r="M25" s="659">
        <f>'5. Cut &amp; Fill'!M63</f>
        <v>1279839.8297224229</v>
      </c>
      <c r="N25" s="660">
        <f>'5. Cut &amp; Fill'!N63</f>
        <v>0</v>
      </c>
      <c r="O25" s="659">
        <f>'5. Cut &amp; Fill'!O63</f>
        <v>0</v>
      </c>
      <c r="P25" s="659">
        <f>'5. Cut &amp; Fill'!P63</f>
        <v>0</v>
      </c>
      <c r="Q25" s="659">
        <f>'5. Cut &amp; Fill'!Q63</f>
        <v>0</v>
      </c>
      <c r="R25" s="659">
        <f>'5. Cut &amp; Fill'!R63</f>
        <v>0</v>
      </c>
      <c r="S25" s="660">
        <f>'5. Cut &amp; Fill'!S63</f>
        <v>0</v>
      </c>
    </row>
    <row r="26" spans="1:19">
      <c r="A26" s="17"/>
      <c r="B26" s="28"/>
      <c r="C26" s="30"/>
      <c r="D26" s="30"/>
      <c r="E26" s="38"/>
      <c r="F26" s="39"/>
      <c r="G26" s="11"/>
      <c r="H26" s="13"/>
      <c r="I26" s="21"/>
      <c r="J26" s="652"/>
      <c r="K26" s="21"/>
      <c r="L26" s="656"/>
      <c r="M26" s="657"/>
      <c r="N26" s="657"/>
      <c r="O26" s="657"/>
      <c r="P26" s="658"/>
      <c r="Q26" s="657"/>
      <c r="R26" s="657"/>
      <c r="S26" s="657"/>
    </row>
    <row r="27" spans="1:19">
      <c r="A27" s="17">
        <v>6</v>
      </c>
      <c r="B27" s="28" t="str">
        <f>'6. Additional Road'!B10</f>
        <v>Additional Road Costs - 0 &amp; 1 Sided Development</v>
      </c>
      <c r="C27" s="29"/>
      <c r="D27" s="29"/>
      <c r="E27" s="40"/>
      <c r="F27" s="41"/>
      <c r="G27" s="11"/>
      <c r="H27" s="13"/>
      <c r="I27" s="21"/>
      <c r="J27" s="652">
        <f>'6. Additional Road'!J54</f>
        <v>1008384.4039758786</v>
      </c>
      <c r="K27" s="201"/>
      <c r="L27" s="659">
        <f>'6. Additional Road'!L54</f>
        <v>1008384.4039758786</v>
      </c>
      <c r="M27" s="659">
        <f>'6. Additional Road'!M54</f>
        <v>0</v>
      </c>
      <c r="N27" s="660">
        <f>'6. Additional Road'!N54</f>
        <v>0</v>
      </c>
      <c r="O27" s="659">
        <f>'6. Additional Road'!O54</f>
        <v>0</v>
      </c>
      <c r="P27" s="659">
        <f>'6. Additional Road'!P54</f>
        <v>0</v>
      </c>
      <c r="Q27" s="659">
        <f>'6. Additional Road'!Q54</f>
        <v>0</v>
      </c>
      <c r="R27" s="659">
        <f>'6. Additional Road'!R54</f>
        <v>0</v>
      </c>
      <c r="S27" s="660">
        <f>'6. Additional Road'!S54</f>
        <v>0</v>
      </c>
    </row>
    <row r="28" spans="1:19">
      <c r="A28" s="17"/>
      <c r="B28" s="28"/>
      <c r="C28" s="29"/>
      <c r="D28" s="29"/>
      <c r="E28" s="40"/>
      <c r="F28" s="41"/>
      <c r="G28" s="11"/>
      <c r="H28" s="13"/>
      <c r="I28" s="21"/>
      <c r="J28" s="652"/>
      <c r="K28" s="21"/>
      <c r="L28" s="656"/>
      <c r="M28" s="657"/>
      <c r="N28" s="657"/>
      <c r="O28" s="657"/>
      <c r="P28" s="658"/>
      <c r="Q28" s="657"/>
      <c r="R28" s="657"/>
      <c r="S28" s="657"/>
    </row>
    <row r="29" spans="1:19">
      <c r="A29" s="17">
        <v>7</v>
      </c>
      <c r="B29" s="28" t="str">
        <f>'7. POS'!B10</f>
        <v>Open Space &amp; Play Equipment</v>
      </c>
      <c r="C29" s="32"/>
      <c r="E29" s="42"/>
      <c r="F29" s="43"/>
      <c r="G29" s="11"/>
      <c r="H29" s="13"/>
      <c r="I29" s="21"/>
      <c r="J29" s="652">
        <f>'7. POS'!J33</f>
        <v>1100189.3465868579</v>
      </c>
      <c r="K29" s="201"/>
      <c r="L29" s="659">
        <f>'7. POS'!L33</f>
        <v>1100189.3465868579</v>
      </c>
      <c r="M29" s="659">
        <f>'7. POS'!M33</f>
        <v>0</v>
      </c>
      <c r="N29" s="660">
        <f>'7. POS'!N33</f>
        <v>0</v>
      </c>
      <c r="O29" s="659">
        <f>'7. POS'!O33</f>
        <v>0</v>
      </c>
      <c r="P29" s="659">
        <f>'7. POS'!P33</f>
        <v>0</v>
      </c>
      <c r="Q29" s="659">
        <f>'7. POS'!Q33</f>
        <v>0</v>
      </c>
      <c r="R29" s="659">
        <f>'7. POS'!R33</f>
        <v>0</v>
      </c>
      <c r="S29" s="660">
        <f>'7. POS'!S33</f>
        <v>0</v>
      </c>
    </row>
    <row r="30" spans="1:19">
      <c r="A30" s="17"/>
      <c r="B30" s="28"/>
      <c r="C30" s="33"/>
      <c r="D30" s="29"/>
      <c r="E30" s="40"/>
      <c r="F30" s="41"/>
      <c r="G30" s="11"/>
      <c r="H30" s="13"/>
      <c r="I30" s="21"/>
      <c r="J30" s="652"/>
      <c r="K30" s="21"/>
      <c r="L30" s="656"/>
      <c r="M30" s="657"/>
      <c r="N30" s="657"/>
      <c r="O30" s="657"/>
      <c r="P30" s="658"/>
      <c r="Q30" s="657"/>
      <c r="R30" s="657"/>
      <c r="S30" s="657"/>
    </row>
    <row r="31" spans="1:19">
      <c r="A31" s="17" t="s">
        <v>221</v>
      </c>
      <c r="B31" s="28" t="str">
        <f>'8a. Foul Sewers'!B10</f>
        <v>Foul Sewers</v>
      </c>
      <c r="C31" s="33"/>
      <c r="D31" s="29"/>
      <c r="E31" s="29"/>
      <c r="F31" s="29"/>
      <c r="G31" s="27"/>
      <c r="H31" s="24"/>
      <c r="I31" s="21"/>
      <c r="J31" s="652">
        <f>'8a. Foul Sewers'!J37</f>
        <v>545574.01190639974</v>
      </c>
      <c r="K31" s="201"/>
      <c r="L31" s="659">
        <f>'8a. Foul Sewers'!L37</f>
        <v>545574.01190639974</v>
      </c>
      <c r="M31" s="659">
        <f>'8a. Foul Sewers'!M37</f>
        <v>0</v>
      </c>
      <c r="N31" s="660">
        <f>'8a. Foul Sewers'!N37</f>
        <v>0</v>
      </c>
      <c r="O31" s="659">
        <f>'8a. Foul Sewers'!O37</f>
        <v>0</v>
      </c>
      <c r="P31" s="659">
        <f>'8a. Foul Sewers'!P37</f>
        <v>0</v>
      </c>
      <c r="Q31" s="659">
        <f>'8a. Foul Sewers'!Q37</f>
        <v>0</v>
      </c>
      <c r="R31" s="659">
        <f>'8a. Foul Sewers'!R37</f>
        <v>0</v>
      </c>
      <c r="S31" s="660">
        <f>'8a. Foul Sewers'!S37</f>
        <v>0</v>
      </c>
    </row>
    <row r="32" spans="1:19">
      <c r="A32" s="17"/>
      <c r="B32" s="28"/>
      <c r="C32" s="33"/>
      <c r="D32" s="29"/>
      <c r="E32" s="29"/>
      <c r="F32" s="29"/>
      <c r="G32" s="27"/>
      <c r="H32" s="24"/>
      <c r="I32" s="21"/>
      <c r="J32" s="652"/>
      <c r="K32" s="201"/>
      <c r="L32" s="656"/>
      <c r="M32" s="657"/>
      <c r="N32" s="657"/>
      <c r="O32" s="657"/>
      <c r="P32" s="658"/>
      <c r="Q32" s="657"/>
      <c r="R32" s="657"/>
      <c r="S32" s="657"/>
    </row>
    <row r="33" spans="1:19">
      <c r="A33" s="17" t="s">
        <v>222</v>
      </c>
      <c r="B33" s="28" t="str">
        <f>'8b. SW Attenuation'!B10</f>
        <v>Surface Water Attenuation</v>
      </c>
      <c r="C33" s="33"/>
      <c r="D33" s="29"/>
      <c r="E33" s="29"/>
      <c r="F33" s="29"/>
      <c r="G33" s="27"/>
      <c r="H33" s="24"/>
      <c r="I33" s="21"/>
      <c r="J33" s="652">
        <f>'8b. SW Attenuation'!J112</f>
        <v>650988.54035414115</v>
      </c>
      <c r="K33" s="201"/>
      <c r="L33" s="659">
        <f>'8b. SW Attenuation'!L112</f>
        <v>650988.54035414115</v>
      </c>
      <c r="M33" s="659">
        <f>'8b. SW Attenuation'!M112</f>
        <v>0</v>
      </c>
      <c r="N33" s="659">
        <f>'8b. SW Attenuation'!N112</f>
        <v>0</v>
      </c>
      <c r="O33" s="659">
        <f>'8b. SW Attenuation'!O49</f>
        <v>0</v>
      </c>
      <c r="P33" s="659">
        <f>'8b. SW Attenuation'!P49</f>
        <v>0</v>
      </c>
      <c r="Q33" s="659">
        <f>'8b. SW Attenuation'!Q49</f>
        <v>0</v>
      </c>
      <c r="R33" s="659">
        <f>'8b. SW Attenuation'!R49</f>
        <v>0</v>
      </c>
      <c r="S33" s="660">
        <f>'8b. SW Attenuation'!S49</f>
        <v>0</v>
      </c>
    </row>
    <row r="34" spans="1:19">
      <c r="A34" s="17"/>
      <c r="B34" s="28"/>
      <c r="C34" s="33"/>
      <c r="D34" s="29"/>
      <c r="E34" s="29"/>
      <c r="F34" s="29"/>
      <c r="G34" s="27"/>
      <c r="H34" s="24"/>
      <c r="I34" s="21"/>
      <c r="J34" s="652"/>
      <c r="K34" s="201"/>
      <c r="L34" s="656"/>
      <c r="M34" s="657"/>
      <c r="N34" s="657"/>
      <c r="O34" s="657"/>
      <c r="P34" s="658"/>
      <c r="Q34" s="657"/>
      <c r="R34" s="657"/>
      <c r="S34" s="657"/>
    </row>
    <row r="35" spans="1:19">
      <c r="A35" s="17">
        <v>9</v>
      </c>
      <c r="B35" s="28" t="str">
        <f>'9. Abnormal Founds'!B10</f>
        <v>Abnormal Foundations</v>
      </c>
      <c r="C35" s="33"/>
      <c r="D35" s="29"/>
      <c r="E35" s="29"/>
      <c r="F35" s="29"/>
      <c r="G35" s="27"/>
      <c r="H35" s="24"/>
      <c r="I35" s="21"/>
      <c r="J35" s="652">
        <f>'9. Abnormal Founds'!J84</f>
        <v>3132729.9714532876</v>
      </c>
      <c r="K35" s="201"/>
      <c r="L35" s="659">
        <f>'9. Abnormal Founds'!L84</f>
        <v>3132729.9714532876</v>
      </c>
      <c r="M35" s="659">
        <f>'9. Abnormal Founds'!M84</f>
        <v>0</v>
      </c>
      <c r="N35" s="660">
        <f>'9. Abnormal Founds'!N84</f>
        <v>0</v>
      </c>
      <c r="O35" s="659">
        <f>'9. Abnormal Founds'!O84</f>
        <v>0</v>
      </c>
      <c r="P35" s="659">
        <f>'9. Abnormal Founds'!P84</f>
        <v>0</v>
      </c>
      <c r="Q35" s="659">
        <f>'9. Abnormal Founds'!Q84</f>
        <v>0</v>
      </c>
      <c r="R35" s="659">
        <f>'9. Abnormal Founds'!R84</f>
        <v>0</v>
      </c>
      <c r="S35" s="660">
        <f>'9. Abnormal Founds'!S84</f>
        <v>0</v>
      </c>
    </row>
    <row r="36" spans="1:19">
      <c r="A36" s="17"/>
      <c r="B36" s="28"/>
      <c r="C36" s="33"/>
      <c r="D36" s="29"/>
      <c r="E36" s="29"/>
      <c r="F36" s="29"/>
      <c r="G36" s="13"/>
      <c r="H36" s="24"/>
      <c r="I36" s="21"/>
      <c r="J36" s="652"/>
      <c r="K36" s="21"/>
      <c r="L36" s="656"/>
      <c r="M36" s="657"/>
      <c r="N36" s="657"/>
      <c r="O36" s="657"/>
      <c r="P36" s="658"/>
      <c r="Q36" s="657"/>
      <c r="R36" s="657"/>
      <c r="S36" s="657"/>
    </row>
    <row r="37" spans="1:19">
      <c r="A37" s="17">
        <v>10</v>
      </c>
      <c r="B37" s="6" t="str">
        <f>'10. Retaining Walls'!B10</f>
        <v>Retaining Walls</v>
      </c>
      <c r="C37" s="33"/>
      <c r="D37" s="29"/>
      <c r="G37" s="13"/>
      <c r="H37" s="24"/>
      <c r="I37" s="21"/>
      <c r="J37" s="652">
        <f>'10. Retaining Walls'!J92</f>
        <v>2479468.3858166668</v>
      </c>
      <c r="K37" s="201"/>
      <c r="L37" s="659">
        <f>'10. Retaining Walls'!L92</f>
        <v>2479468.3858166668</v>
      </c>
      <c r="M37" s="659">
        <f>'10. Retaining Walls'!M92</f>
        <v>0</v>
      </c>
      <c r="N37" s="660">
        <f>'10. Retaining Walls'!N92</f>
        <v>0</v>
      </c>
      <c r="O37" s="659">
        <f>'10. Retaining Walls'!O92</f>
        <v>0</v>
      </c>
      <c r="P37" s="659">
        <f>'10. Retaining Walls'!P77</f>
        <v>0</v>
      </c>
      <c r="Q37" s="659">
        <f>'10. Retaining Walls'!Q77</f>
        <v>0</v>
      </c>
      <c r="R37" s="659">
        <f>'10. Retaining Walls'!R77</f>
        <v>0</v>
      </c>
      <c r="S37" s="660">
        <f>'10. Retaining Walls'!S77</f>
        <v>0</v>
      </c>
    </row>
    <row r="38" spans="1:19">
      <c r="A38" s="17"/>
      <c r="B38" s="6"/>
      <c r="C38" s="33"/>
      <c r="D38" s="29"/>
      <c r="G38" s="13"/>
      <c r="H38" s="24"/>
      <c r="I38" s="21"/>
      <c r="J38" s="652"/>
      <c r="K38" s="201"/>
      <c r="L38" s="656"/>
      <c r="M38" s="657"/>
      <c r="N38" s="657"/>
      <c r="O38" s="657"/>
      <c r="P38" s="658"/>
      <c r="Q38" s="657"/>
      <c r="R38" s="657"/>
      <c r="S38" s="657"/>
    </row>
    <row r="39" spans="1:19">
      <c r="A39" s="17">
        <v>11</v>
      </c>
      <c r="B39" s="6" t="str">
        <f>'11. Services'!B10</f>
        <v>Service Diversion &amp; Substation</v>
      </c>
      <c r="C39" s="33"/>
      <c r="D39" s="29"/>
      <c r="G39" s="13"/>
      <c r="H39" s="24"/>
      <c r="I39" s="21"/>
      <c r="J39" s="652">
        <f>'11. Services'!J59</f>
        <v>967750</v>
      </c>
      <c r="K39" s="201"/>
      <c r="L39" s="659">
        <f>'11. Services'!L59</f>
        <v>656765.16853932582</v>
      </c>
      <c r="M39" s="659">
        <f>'11. Services'!M59</f>
        <v>310984.83146067418</v>
      </c>
      <c r="N39" s="660">
        <f>'11. Services'!N59</f>
        <v>0</v>
      </c>
      <c r="O39" s="659">
        <f>'11. Services'!O59</f>
        <v>0</v>
      </c>
      <c r="P39" s="659">
        <f>'11. Services'!P59</f>
        <v>0</v>
      </c>
      <c r="Q39" s="659">
        <f>'11. Services'!Q59</f>
        <v>0</v>
      </c>
      <c r="R39" s="659">
        <f>'11. Services'!R59</f>
        <v>0</v>
      </c>
      <c r="S39" s="660">
        <f>'11. Services'!S59</f>
        <v>0</v>
      </c>
    </row>
    <row r="40" spans="1:19">
      <c r="A40" s="17"/>
      <c r="B40" s="6"/>
      <c r="C40" s="33"/>
      <c r="D40" s="29"/>
      <c r="G40" s="13"/>
      <c r="H40" s="24"/>
      <c r="I40" s="21"/>
      <c r="J40" s="652"/>
      <c r="K40" s="201"/>
      <c r="L40" s="656"/>
      <c r="M40" s="657"/>
      <c r="N40" s="657"/>
      <c r="O40" s="657"/>
      <c r="P40" s="658"/>
      <c r="Q40" s="657"/>
      <c r="R40" s="657"/>
      <c r="S40" s="657"/>
    </row>
    <row r="41" spans="1:19">
      <c r="A41" s="17">
        <f>'12. Externals'!A10</f>
        <v>12</v>
      </c>
      <c r="B41" s="6" t="str">
        <f>'12. Externals'!B10</f>
        <v>Externals &amp;Site Spec Requirements</v>
      </c>
      <c r="C41" s="33"/>
      <c r="D41" s="29"/>
      <c r="G41" s="13"/>
      <c r="H41" s="24"/>
      <c r="I41" s="21"/>
      <c r="J41" s="652">
        <f>'12. Externals'!J55</f>
        <v>3895803.8</v>
      </c>
      <c r="K41" s="201"/>
      <c r="L41" s="659">
        <f>'12. Externals'!L55</f>
        <v>2180603.7999999998</v>
      </c>
      <c r="M41" s="659">
        <f>'12. Externals'!M55</f>
        <v>1158950</v>
      </c>
      <c r="N41" s="660">
        <f>'12. Externals'!N55</f>
        <v>0</v>
      </c>
      <c r="O41" s="659">
        <f>'12. Externals'!O55</f>
        <v>0</v>
      </c>
      <c r="P41" s="659">
        <f>'12. Externals'!P55</f>
        <v>0</v>
      </c>
      <c r="Q41" s="659">
        <f>'12. Externals'!Q55</f>
        <v>0</v>
      </c>
      <c r="R41" s="659">
        <f>'12. Externals'!R55</f>
        <v>0</v>
      </c>
      <c r="S41" s="660">
        <f>'12. Externals'!S55</f>
        <v>0</v>
      </c>
    </row>
    <row r="42" spans="1:19">
      <c r="A42" s="17"/>
      <c r="B42" s="6"/>
      <c r="C42" s="33"/>
      <c r="D42" s="29"/>
      <c r="G42" s="13"/>
      <c r="H42" s="24"/>
      <c r="I42" s="21"/>
      <c r="J42" s="652"/>
      <c r="K42" s="201"/>
      <c r="L42" s="656"/>
      <c r="M42" s="657"/>
      <c r="N42" s="657"/>
      <c r="O42" s="657"/>
      <c r="P42" s="658"/>
      <c r="Q42" s="657"/>
      <c r="R42" s="657"/>
      <c r="S42" s="657"/>
    </row>
    <row r="43" spans="1:19" ht="16" thickBot="1">
      <c r="A43" s="17"/>
      <c r="B43" s="33"/>
      <c r="D43" s="29"/>
      <c r="G43" s="13"/>
      <c r="H43" s="24"/>
      <c r="I43" s="21"/>
      <c r="J43" s="652"/>
      <c r="K43" s="201"/>
      <c r="L43" s="656"/>
      <c r="M43" s="657"/>
      <c r="N43" s="657"/>
      <c r="O43" s="657"/>
      <c r="P43" s="658"/>
      <c r="Q43" s="657"/>
      <c r="R43" s="657"/>
      <c r="S43" s="657"/>
    </row>
    <row r="44" spans="1:19">
      <c r="A44" s="51"/>
      <c r="B44" s="701"/>
      <c r="C44" s="702"/>
      <c r="D44" s="703"/>
      <c r="E44" s="702"/>
      <c r="F44" s="702"/>
      <c r="G44" s="704"/>
      <c r="H44" s="705"/>
      <c r="I44" s="21"/>
      <c r="J44" s="652"/>
      <c r="K44" s="201"/>
      <c r="L44" s="656"/>
      <c r="M44" s="657"/>
      <c r="N44" s="657"/>
      <c r="O44" s="657"/>
      <c r="P44" s="658"/>
      <c r="Q44" s="657"/>
      <c r="R44" s="657"/>
      <c r="S44" s="657"/>
    </row>
    <row r="45" spans="1:19">
      <c r="A45" s="51"/>
      <c r="B45" s="706"/>
      <c r="C45" s="33" t="s">
        <v>674</v>
      </c>
      <c r="D45" s="29"/>
      <c r="G45" s="13"/>
      <c r="H45" s="707"/>
      <c r="I45" s="21"/>
      <c r="J45" s="652"/>
      <c r="K45" s="201"/>
      <c r="L45" s="656"/>
      <c r="M45" s="657"/>
      <c r="N45" s="657"/>
      <c r="O45" s="657"/>
      <c r="P45" s="658"/>
      <c r="Q45" s="657"/>
      <c r="R45" s="657"/>
      <c r="S45" s="722"/>
    </row>
    <row r="46" spans="1:19">
      <c r="A46" s="51"/>
      <c r="B46" s="706"/>
      <c r="C46" s="708" t="s">
        <v>675</v>
      </c>
      <c r="D46" s="29"/>
      <c r="G46" s="13"/>
      <c r="H46" s="707"/>
      <c r="I46" s="21"/>
      <c r="J46" s="652"/>
      <c r="K46" s="201"/>
      <c r="L46" s="656"/>
      <c r="M46" s="657"/>
      <c r="N46" s="657"/>
      <c r="O46" s="657"/>
      <c r="P46" s="658"/>
      <c r="Q46" s="657"/>
      <c r="R46" s="657"/>
      <c r="S46" s="722"/>
    </row>
    <row r="47" spans="1:19" ht="16" thickBot="1">
      <c r="A47" s="51"/>
      <c r="B47" s="709"/>
      <c r="C47" s="710"/>
      <c r="D47" s="711"/>
      <c r="E47" s="712"/>
      <c r="F47" s="712"/>
      <c r="G47" s="713"/>
      <c r="H47" s="714"/>
      <c r="I47" s="21"/>
      <c r="J47" s="652"/>
      <c r="K47" s="201"/>
      <c r="L47" s="656"/>
      <c r="M47" s="657"/>
      <c r="N47" s="657"/>
      <c r="O47" s="657"/>
      <c r="P47" s="658"/>
      <c r="Q47" s="657"/>
      <c r="R47" s="657"/>
      <c r="S47" s="722"/>
    </row>
    <row r="48" spans="1:19">
      <c r="A48" s="17"/>
      <c r="B48" s="6"/>
      <c r="C48" s="33"/>
      <c r="D48" s="29"/>
      <c r="G48" s="13"/>
      <c r="H48" s="24"/>
      <c r="I48" s="21"/>
      <c r="J48" s="653"/>
      <c r="K48" s="201"/>
      <c r="L48" s="661"/>
      <c r="M48" s="661"/>
      <c r="N48" s="661"/>
      <c r="O48" s="661"/>
      <c r="P48" s="661"/>
      <c r="Q48" s="661"/>
      <c r="R48" s="661"/>
      <c r="S48" s="661"/>
    </row>
    <row r="49" spans="1:19">
      <c r="A49" s="17"/>
      <c r="B49" s="6"/>
      <c r="C49" s="33"/>
      <c r="D49" s="29"/>
      <c r="G49" s="13"/>
      <c r="H49" s="24"/>
      <c r="I49" s="21"/>
      <c r="J49" s="652"/>
      <c r="K49" s="201"/>
      <c r="L49" s="660"/>
      <c r="M49" s="660"/>
      <c r="N49" s="662"/>
      <c r="O49" s="660"/>
      <c r="P49" s="660"/>
      <c r="Q49" s="660"/>
      <c r="R49" s="660"/>
      <c r="S49" s="660"/>
    </row>
    <row r="50" spans="1:19">
      <c r="A50" s="17"/>
      <c r="B50" s="44"/>
      <c r="C50" s="45"/>
      <c r="D50" s="45"/>
      <c r="E50" s="45"/>
      <c r="F50" s="25"/>
      <c r="G50" s="13"/>
      <c r="H50" s="24"/>
      <c r="I50" s="21"/>
      <c r="J50" s="652">
        <f>SUM(J14:J49)</f>
        <v>19421427.497850955</v>
      </c>
      <c r="K50" s="21"/>
      <c r="L50" s="660">
        <f t="shared" ref="L50:S50" si="0">SUM(L14:L49)</f>
        <v>15456321.824302524</v>
      </c>
      <c r="M50" s="660">
        <f t="shared" si="0"/>
        <v>3408855.6735484293</v>
      </c>
      <c r="N50" s="660">
        <f t="shared" si="0"/>
        <v>0</v>
      </c>
      <c r="O50" s="660">
        <f t="shared" si="0"/>
        <v>0</v>
      </c>
      <c r="P50" s="660">
        <f t="shared" si="0"/>
        <v>0</v>
      </c>
      <c r="Q50" s="660">
        <f t="shared" si="0"/>
        <v>0</v>
      </c>
      <c r="R50" s="660">
        <f t="shared" si="0"/>
        <v>0</v>
      </c>
      <c r="S50" s="660">
        <f t="shared" si="0"/>
        <v>0</v>
      </c>
    </row>
    <row r="51" spans="1:19">
      <c r="A51" s="17"/>
      <c r="B51" s="44"/>
      <c r="C51" s="45"/>
      <c r="D51" s="45"/>
      <c r="E51" s="45"/>
      <c r="G51" s="13"/>
      <c r="H51" s="24"/>
      <c r="I51" s="21"/>
      <c r="J51" s="652"/>
      <c r="K51" s="201"/>
      <c r="L51" s="656"/>
      <c r="M51" s="657"/>
      <c r="N51" s="657"/>
      <c r="O51" s="657"/>
      <c r="P51" s="658"/>
      <c r="Q51" s="657"/>
      <c r="R51" s="657"/>
      <c r="S51" s="722"/>
    </row>
    <row r="52" spans="1:19" ht="16">
      <c r="A52" s="17"/>
      <c r="B52" s="260" t="s">
        <v>259</v>
      </c>
      <c r="G52" s="13">
        <f>SUM(J23:J48)</f>
        <v>19421427.497850955</v>
      </c>
      <c r="H52" s="24" t="s">
        <v>260</v>
      </c>
      <c r="I52" s="261">
        <v>0.05</v>
      </c>
      <c r="J52" s="652">
        <f>G52*I52</f>
        <v>971071.37489254773</v>
      </c>
      <c r="K52" s="21"/>
      <c r="L52" s="660">
        <f>(SUM(L23:L48))*$I52</f>
        <v>772816.09121512622</v>
      </c>
      <c r="M52" s="660">
        <f t="shared" ref="M52:S52" si="1">(SUM(M23:M48))*$I52</f>
        <v>170442.78367742148</v>
      </c>
      <c r="N52" s="660">
        <f t="shared" si="1"/>
        <v>0</v>
      </c>
      <c r="O52" s="660">
        <f t="shared" si="1"/>
        <v>0</v>
      </c>
      <c r="P52" s="660">
        <f t="shared" si="1"/>
        <v>0</v>
      </c>
      <c r="Q52" s="660">
        <f t="shared" si="1"/>
        <v>0</v>
      </c>
      <c r="R52" s="660">
        <f t="shared" si="1"/>
        <v>0</v>
      </c>
      <c r="S52" s="660">
        <f t="shared" si="1"/>
        <v>0</v>
      </c>
    </row>
    <row r="53" spans="1:19">
      <c r="A53" s="17"/>
      <c r="B53" s="44"/>
      <c r="F53" s="7"/>
      <c r="G53" s="11"/>
      <c r="H53" s="13"/>
      <c r="I53" s="21"/>
      <c r="J53" s="652"/>
      <c r="K53" s="21"/>
      <c r="L53" s="723"/>
      <c r="M53" s="724"/>
      <c r="N53" s="724"/>
      <c r="O53" s="724"/>
      <c r="P53" s="725"/>
      <c r="Q53" s="724"/>
      <c r="R53" s="724"/>
      <c r="S53" s="726"/>
    </row>
    <row r="54" spans="1:19">
      <c r="A54" s="17"/>
      <c r="B54" s="6"/>
      <c r="F54" s="7"/>
      <c r="G54" s="11"/>
      <c r="H54" s="13"/>
      <c r="I54" s="21"/>
      <c r="J54" s="654"/>
      <c r="K54" s="21"/>
      <c r="L54" s="662"/>
      <c r="M54" s="662"/>
      <c r="N54" s="662"/>
      <c r="O54" s="662"/>
      <c r="P54" s="662"/>
      <c r="Q54" s="662"/>
      <c r="R54" s="662"/>
      <c r="S54" s="662"/>
    </row>
    <row r="55" spans="1:19">
      <c r="A55" s="17"/>
      <c r="B55" s="6"/>
      <c r="F55" s="7"/>
      <c r="G55" s="11"/>
      <c r="H55" s="13"/>
      <c r="I55" s="21"/>
      <c r="J55" s="655">
        <f>SUM(J49:J54)</f>
        <v>20392498.872743502</v>
      </c>
      <c r="K55" s="202"/>
      <c r="L55" s="663">
        <f t="shared" ref="L55:S55" si="2">SUM(L49:L54)</f>
        <v>16229137.915517651</v>
      </c>
      <c r="M55" s="663">
        <f t="shared" si="2"/>
        <v>3579298.4572258508</v>
      </c>
      <c r="N55" s="663">
        <f t="shared" si="2"/>
        <v>0</v>
      </c>
      <c r="O55" s="663">
        <f t="shared" si="2"/>
        <v>0</v>
      </c>
      <c r="P55" s="663">
        <f t="shared" si="2"/>
        <v>0</v>
      </c>
      <c r="Q55" s="663">
        <f t="shared" si="2"/>
        <v>0</v>
      </c>
      <c r="R55" s="663">
        <f t="shared" si="2"/>
        <v>0</v>
      </c>
      <c r="S55" s="663">
        <f t="shared" si="2"/>
        <v>0</v>
      </c>
    </row>
    <row r="56" spans="1:19" ht="16" thickBot="1">
      <c r="A56" s="18"/>
      <c r="B56" s="8"/>
      <c r="C56" s="9"/>
      <c r="D56" s="9"/>
      <c r="E56" s="9"/>
      <c r="F56" s="10"/>
      <c r="G56" s="14"/>
      <c r="H56" s="15"/>
      <c r="I56" s="23"/>
      <c r="J56" s="75"/>
      <c r="K56" s="21"/>
      <c r="L56" s="75"/>
      <c r="M56" s="75"/>
      <c r="N56" s="75"/>
      <c r="O56" s="75"/>
      <c r="P56" s="75"/>
      <c r="Q56" s="75"/>
      <c r="R56" s="75"/>
      <c r="S56" s="75"/>
    </row>
    <row r="57" spans="1:19" ht="16" thickTop="1"/>
    <row r="59" spans="1:19">
      <c r="G59" s="232"/>
      <c r="J59" s="231"/>
    </row>
    <row r="61" spans="1:19">
      <c r="J61" s="233"/>
    </row>
    <row r="64" spans="1:19">
      <c r="J64" s="231"/>
    </row>
    <row r="66" spans="10:10">
      <c r="J66" s="234"/>
    </row>
  </sheetData>
  <mergeCells count="14">
    <mergeCell ref="H2:I2"/>
    <mergeCell ref="J5:J13"/>
    <mergeCell ref="L5:S5"/>
    <mergeCell ref="L6:M6"/>
    <mergeCell ref="A5:A13"/>
    <mergeCell ref="B5:F13"/>
    <mergeCell ref="G5:G13"/>
    <mergeCell ref="H5:H13"/>
    <mergeCell ref="I5:I13"/>
    <mergeCell ref="N6:O6"/>
    <mergeCell ref="Q6:Q10"/>
    <mergeCell ref="R6:R10"/>
    <mergeCell ref="S6:S10"/>
    <mergeCell ref="P6:P10"/>
  </mergeCells>
  <hyperlinks>
    <hyperlink ref="C46" r:id="rId1" xr:uid="{07581F9F-6A02-224F-89DC-138A506C9460}"/>
  </hyperlinks>
  <printOptions horizontalCentered="1"/>
  <pageMargins left="0.7" right="0.7" top="0.75" bottom="0.75" header="0.3" footer="0.3"/>
  <pageSetup paperSize="8" scale="6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9B847-8187-DE45-B128-EA3B50C8B16F}">
  <dimension ref="A3:AU118"/>
  <sheetViews>
    <sheetView topLeftCell="J65" zoomScale="122" zoomScaleNormal="122" workbookViewId="0">
      <selection activeCell="P56" sqref="P56"/>
    </sheetView>
  </sheetViews>
  <sheetFormatPr baseColWidth="10" defaultRowHeight="15"/>
  <cols>
    <col min="1" max="1" width="10.6640625" style="246" hidden="1" customWidth="1"/>
    <col min="2" max="2" width="12" style="246" hidden="1" customWidth="1"/>
    <col min="3" max="3" width="10.83203125" style="246" hidden="1" customWidth="1"/>
    <col min="4" max="5" width="12.33203125" style="246" hidden="1" customWidth="1"/>
    <col min="6" max="6" width="5.1640625" style="246" customWidth="1"/>
    <col min="7" max="7" width="2.6640625" style="246" customWidth="1"/>
    <col min="8" max="8" width="21.33203125" style="246" customWidth="1"/>
    <col min="9" max="9" width="12" style="246" customWidth="1"/>
    <col min="10" max="10" width="13.6640625" style="246" customWidth="1"/>
    <col min="11" max="11" width="28.83203125" style="246" customWidth="1"/>
    <col min="12" max="12" width="10.83203125" style="248"/>
    <col min="13" max="13" width="10.83203125" style="249"/>
    <col min="14" max="14" width="9.83203125" style="249" customWidth="1"/>
    <col min="15" max="16" width="10.83203125" style="664"/>
    <col min="17" max="17" width="6" style="45" bestFit="1" customWidth="1"/>
    <col min="18" max="19" width="10.83203125" style="664"/>
    <col min="20" max="20" width="7" style="45" bestFit="1" customWidth="1"/>
    <col min="21" max="21" width="8.5" style="664" hidden="1" customWidth="1"/>
    <col min="22" max="22" width="8.83203125" style="664" hidden="1" customWidth="1"/>
    <col min="23" max="23" width="0" style="45" hidden="1" customWidth="1"/>
    <col min="24" max="24" width="8.5" style="664" hidden="1" customWidth="1"/>
    <col min="25" max="25" width="8.83203125" style="664" hidden="1" customWidth="1"/>
    <col min="26" max="26" width="0" style="45" hidden="1" customWidth="1"/>
    <col min="27" max="27" width="10.1640625" style="45" bestFit="1" customWidth="1"/>
    <col min="28" max="28" width="10.83203125" style="45"/>
    <col min="29" max="29" width="6.5" style="246" customWidth="1"/>
    <col min="30" max="30" width="6.83203125" style="246" customWidth="1"/>
    <col min="31" max="42" width="10.83203125" style="246"/>
    <col min="43" max="43" width="18.1640625" style="246" customWidth="1"/>
    <col min="44" max="16384" width="10.83203125" style="246"/>
  </cols>
  <sheetData>
    <row r="3" spans="1:34" ht="23">
      <c r="H3" s="247" t="str">
        <f>'Breakdown Summary'!B2</f>
        <v>Trows Farm, Castleton</v>
      </c>
      <c r="I3" s="247"/>
      <c r="J3" s="247"/>
    </row>
    <row r="4" spans="1:34" ht="23">
      <c r="H4" s="247" t="str">
        <f>'Breakdown Summary'!B3</f>
        <v>Cowm Top Lane, Rochdale</v>
      </c>
      <c r="I4" s="247"/>
      <c r="J4" s="247"/>
    </row>
    <row r="5" spans="1:34" s="250" customFormat="1" ht="28" customHeight="1">
      <c r="L5" s="251"/>
      <c r="M5" s="252"/>
      <c r="N5" s="252"/>
      <c r="O5" s="1066" t="s">
        <v>749</v>
      </c>
      <c r="P5" s="1066"/>
      <c r="Q5" s="665"/>
      <c r="R5" s="1066" t="s">
        <v>770</v>
      </c>
      <c r="S5" s="1066"/>
      <c r="T5" s="665"/>
      <c r="U5" s="1066" t="s">
        <v>607</v>
      </c>
      <c r="V5" s="1066"/>
      <c r="W5" s="665"/>
      <c r="X5" s="1066" t="s">
        <v>607</v>
      </c>
      <c r="Y5" s="1066"/>
      <c r="Z5" s="666"/>
      <c r="AA5" s="1066" t="s">
        <v>236</v>
      </c>
      <c r="AB5" s="1066"/>
      <c r="AE5" s="650" t="s">
        <v>600</v>
      </c>
      <c r="AF5" s="650" t="s">
        <v>601</v>
      </c>
    </row>
    <row r="7" spans="1:34" s="250" customFormat="1" ht="13">
      <c r="A7" s="1067" t="s">
        <v>237</v>
      </c>
      <c r="B7" s="1067"/>
      <c r="C7" s="1067"/>
      <c r="D7" s="1067"/>
      <c r="E7" s="251"/>
      <c r="L7" s="251" t="s">
        <v>238</v>
      </c>
      <c r="M7" s="253" t="s">
        <v>239</v>
      </c>
      <c r="N7" s="253"/>
      <c r="O7" s="667" t="s">
        <v>240</v>
      </c>
      <c r="P7" s="667" t="s">
        <v>241</v>
      </c>
      <c r="Q7" s="666"/>
      <c r="R7" s="667" t="s">
        <v>240</v>
      </c>
      <c r="S7" s="667" t="s">
        <v>241</v>
      </c>
      <c r="T7" s="666"/>
      <c r="U7" s="667" t="s">
        <v>240</v>
      </c>
      <c r="V7" s="667" t="s">
        <v>241</v>
      </c>
      <c r="W7" s="666"/>
      <c r="X7" s="667" t="s">
        <v>240</v>
      </c>
      <c r="Y7" s="667" t="s">
        <v>241</v>
      </c>
      <c r="Z7" s="666"/>
      <c r="AA7" s="667" t="s">
        <v>240</v>
      </c>
      <c r="AB7" s="667" t="s">
        <v>241</v>
      </c>
    </row>
    <row r="8" spans="1:34">
      <c r="A8" s="251" t="s">
        <v>242</v>
      </c>
      <c r="B8" s="251" t="s">
        <v>243</v>
      </c>
      <c r="C8" s="251" t="s">
        <v>244</v>
      </c>
      <c r="D8" s="251" t="s">
        <v>245</v>
      </c>
      <c r="E8" s="251" t="s">
        <v>246</v>
      </c>
      <c r="G8" s="250" t="s">
        <v>247</v>
      </c>
    </row>
    <row r="9" spans="1:34">
      <c r="A9" s="258">
        <f>7.03/60.07</f>
        <v>0.11703013151323456</v>
      </c>
      <c r="B9" s="258">
        <f>46.79/60.07</f>
        <v>0.7789245879806892</v>
      </c>
      <c r="C9" s="258">
        <f>6.25/60.07</f>
        <v>0.10404528050607624</v>
      </c>
    </row>
    <row r="10" spans="1:34">
      <c r="A10" s="254"/>
      <c r="B10" s="254"/>
      <c r="C10" s="254"/>
      <c r="G10" s="246" t="s">
        <v>933</v>
      </c>
    </row>
    <row r="11" spans="1:34" ht="16">
      <c r="A11" s="254">
        <f t="shared" ref="A11:C25" si="0">($M11*$E11)*A$9</f>
        <v>6891.6703845513566</v>
      </c>
      <c r="B11" s="254">
        <f t="shared" si="0"/>
        <v>45869.311137006829</v>
      </c>
      <c r="C11" s="254">
        <f t="shared" si="0"/>
        <v>6127.0184784418179</v>
      </c>
      <c r="D11" s="255">
        <f>SUM(A11:C11)</f>
        <v>58888</v>
      </c>
      <c r="E11" s="257">
        <v>68</v>
      </c>
      <c r="H11" s="698" t="s">
        <v>989</v>
      </c>
      <c r="I11" s="698">
        <v>2</v>
      </c>
      <c r="J11" s="698" t="s">
        <v>924</v>
      </c>
      <c r="K11" s="698"/>
      <c r="L11" s="699">
        <v>2</v>
      </c>
      <c r="M11" s="700">
        <v>866</v>
      </c>
      <c r="O11" s="664">
        <f>P11*M11</f>
        <v>5196</v>
      </c>
      <c r="P11" s="699">
        <v>6</v>
      </c>
      <c r="R11" s="664">
        <f>S11*M11</f>
        <v>0</v>
      </c>
      <c r="S11" s="699"/>
      <c r="U11" s="664">
        <f>V11*M11</f>
        <v>0</v>
      </c>
      <c r="X11" s="664">
        <f>Y11*M11</f>
        <v>0</v>
      </c>
      <c r="AA11" s="671">
        <f>O11+R11+U11+X11</f>
        <v>5196</v>
      </c>
      <c r="AB11" s="671">
        <f>P11+S11+V11+Y11</f>
        <v>6</v>
      </c>
      <c r="AE11" s="651">
        <f t="shared" ref="AE11:AE20" si="1">ROUNDUP(((SQRT((M11/10.764)/2))*5),0)</f>
        <v>32</v>
      </c>
      <c r="AF11" s="651">
        <f t="shared" ref="AF11:AF33" si="2">ROUNDUP(((SQRT((M11/10.764)/2))*(SQRT((M11/10.764)/2))),0)</f>
        <v>41</v>
      </c>
      <c r="AG11" s="727">
        <f>SQRT(AF11)</f>
        <v>6.4031242374328485</v>
      </c>
      <c r="AH11" s="727">
        <f>(AG11+2+2)*(AG11+2+2)</f>
        <v>108.22499389946279</v>
      </c>
    </row>
    <row r="12" spans="1:34" ht="16">
      <c r="A12" s="254">
        <f t="shared" si="0"/>
        <v>6891.6703845513566</v>
      </c>
      <c r="B12" s="254">
        <f t="shared" si="0"/>
        <v>45869.311137006829</v>
      </c>
      <c r="C12" s="254">
        <f t="shared" si="0"/>
        <v>6127.0184784418179</v>
      </c>
      <c r="D12" s="255">
        <f t="shared" ref="D12:D24" si="3">SUM(A12:C12)</f>
        <v>58888</v>
      </c>
      <c r="E12" s="257">
        <v>68</v>
      </c>
      <c r="H12" s="698" t="s">
        <v>1007</v>
      </c>
      <c r="I12" s="698">
        <v>2</v>
      </c>
      <c r="J12" s="698" t="s">
        <v>924</v>
      </c>
      <c r="K12" s="698"/>
      <c r="L12" s="699">
        <v>2</v>
      </c>
      <c r="M12" s="700">
        <v>866</v>
      </c>
      <c r="O12" s="664">
        <f t="shared" ref="O12:O33" si="4">P12*M12</f>
        <v>866</v>
      </c>
      <c r="P12" s="699">
        <v>1</v>
      </c>
      <c r="R12" s="664">
        <f t="shared" ref="R12:R33" si="5">S12*M12</f>
        <v>0</v>
      </c>
      <c r="S12" s="699"/>
      <c r="U12" s="664">
        <f t="shared" ref="U12:U33" si="6">V12*M12</f>
        <v>0</v>
      </c>
      <c r="X12" s="664">
        <f t="shared" ref="X12:X33" si="7">Y12*M12</f>
        <v>0</v>
      </c>
      <c r="AA12" s="671">
        <f t="shared" ref="AA12:AA25" si="8">O12+R12+U12+X12</f>
        <v>866</v>
      </c>
      <c r="AB12" s="671">
        <f t="shared" ref="AB12:AB25" si="9">P12+S12+V12+Y12</f>
        <v>1</v>
      </c>
      <c r="AE12" s="651">
        <f t="shared" si="1"/>
        <v>32</v>
      </c>
      <c r="AF12" s="651">
        <f t="shared" si="2"/>
        <v>41</v>
      </c>
      <c r="AG12" s="727">
        <f t="shared" ref="AG12:AG33" si="10">SQRT(AF12)</f>
        <v>6.4031242374328485</v>
      </c>
      <c r="AH12" s="727">
        <f t="shared" ref="AH12:AH33" si="11">(AG12+2+2)*(AG12+2+2)</f>
        <v>108.22499389946279</v>
      </c>
    </row>
    <row r="13" spans="1:34" ht="16">
      <c r="A13" s="254">
        <f t="shared" si="0"/>
        <v>8157.0001664724487</v>
      </c>
      <c r="B13" s="254">
        <f t="shared" si="0"/>
        <v>54291.043782254041</v>
      </c>
      <c r="C13" s="254">
        <f t="shared" si="0"/>
        <v>7251.9560512735143</v>
      </c>
      <c r="D13" s="255">
        <f t="shared" si="3"/>
        <v>69700</v>
      </c>
      <c r="E13" s="257">
        <v>68</v>
      </c>
      <c r="H13" s="698" t="s">
        <v>990</v>
      </c>
      <c r="I13" s="698">
        <v>2</v>
      </c>
      <c r="J13" s="698" t="s">
        <v>924</v>
      </c>
      <c r="K13" s="698"/>
      <c r="L13" s="699">
        <v>2</v>
      </c>
      <c r="M13" s="700">
        <v>1025</v>
      </c>
      <c r="O13" s="664">
        <f t="shared" si="4"/>
        <v>4100</v>
      </c>
      <c r="P13" s="699">
        <v>4</v>
      </c>
      <c r="R13" s="664">
        <f t="shared" si="5"/>
        <v>0</v>
      </c>
      <c r="S13" s="699"/>
      <c r="U13" s="664">
        <f t="shared" si="6"/>
        <v>0</v>
      </c>
      <c r="X13" s="664">
        <f t="shared" si="7"/>
        <v>0</v>
      </c>
      <c r="AA13" s="671">
        <f t="shared" si="8"/>
        <v>4100</v>
      </c>
      <c r="AB13" s="671">
        <f t="shared" si="9"/>
        <v>4</v>
      </c>
      <c r="AE13" s="651">
        <f t="shared" si="1"/>
        <v>35</v>
      </c>
      <c r="AF13" s="651">
        <f t="shared" si="2"/>
        <v>48</v>
      </c>
      <c r="AG13" s="727">
        <f t="shared" si="10"/>
        <v>6.9282032302755088</v>
      </c>
      <c r="AH13" s="727">
        <f t="shared" si="11"/>
        <v>119.42562584220407</v>
      </c>
    </row>
    <row r="14" spans="1:34" ht="16">
      <c r="A14" s="254">
        <f t="shared" si="0"/>
        <v>8157.0001664724487</v>
      </c>
      <c r="B14" s="254">
        <f t="shared" si="0"/>
        <v>54291.043782254041</v>
      </c>
      <c r="C14" s="254">
        <f t="shared" si="0"/>
        <v>7251.9560512735143</v>
      </c>
      <c r="D14" s="255">
        <f t="shared" si="3"/>
        <v>69700</v>
      </c>
      <c r="E14" s="257">
        <v>68</v>
      </c>
      <c r="H14" s="698" t="s">
        <v>1008</v>
      </c>
      <c r="I14" s="698">
        <v>2</v>
      </c>
      <c r="J14" s="698" t="s">
        <v>924</v>
      </c>
      <c r="K14" s="698"/>
      <c r="L14" s="699">
        <v>2</v>
      </c>
      <c r="M14" s="700">
        <v>1025</v>
      </c>
      <c r="O14" s="664">
        <f t="shared" si="4"/>
        <v>2050</v>
      </c>
      <c r="P14" s="699">
        <v>2</v>
      </c>
      <c r="R14" s="664">
        <f t="shared" si="5"/>
        <v>0</v>
      </c>
      <c r="S14" s="699"/>
      <c r="U14" s="664">
        <f t="shared" si="6"/>
        <v>0</v>
      </c>
      <c r="X14" s="664">
        <f t="shared" si="7"/>
        <v>0</v>
      </c>
      <c r="AA14" s="671">
        <f t="shared" si="8"/>
        <v>2050</v>
      </c>
      <c r="AB14" s="671">
        <f t="shared" si="9"/>
        <v>2</v>
      </c>
      <c r="AE14" s="651">
        <f t="shared" si="1"/>
        <v>35</v>
      </c>
      <c r="AF14" s="651">
        <f t="shared" si="2"/>
        <v>48</v>
      </c>
      <c r="AG14" s="727">
        <f t="shared" si="10"/>
        <v>6.9282032302755088</v>
      </c>
      <c r="AH14" s="727">
        <f t="shared" si="11"/>
        <v>119.42562584220407</v>
      </c>
    </row>
    <row r="15" spans="1:34" ht="16">
      <c r="A15" s="254">
        <f t="shared" si="0"/>
        <v>6247.0684201764607</v>
      </c>
      <c r="B15" s="254">
        <f t="shared" si="0"/>
        <v>41578.994506409188</v>
      </c>
      <c r="C15" s="254">
        <f t="shared" si="0"/>
        <v>5553.9370734143495</v>
      </c>
      <c r="D15" s="255">
        <f t="shared" si="3"/>
        <v>53380</v>
      </c>
      <c r="E15" s="257">
        <v>68</v>
      </c>
      <c r="H15" s="698" t="s">
        <v>991</v>
      </c>
      <c r="I15" s="698">
        <v>2</v>
      </c>
      <c r="J15" s="698" t="s">
        <v>924</v>
      </c>
      <c r="K15" s="698"/>
      <c r="L15" s="699">
        <v>2</v>
      </c>
      <c r="M15" s="700">
        <v>785</v>
      </c>
      <c r="O15" s="664">
        <f t="shared" si="4"/>
        <v>7850</v>
      </c>
      <c r="P15" s="699">
        <v>10</v>
      </c>
      <c r="R15" s="664">
        <f t="shared" si="5"/>
        <v>0</v>
      </c>
      <c r="S15" s="699"/>
      <c r="U15" s="664">
        <f t="shared" si="6"/>
        <v>0</v>
      </c>
      <c r="X15" s="664">
        <f t="shared" si="7"/>
        <v>0</v>
      </c>
      <c r="AA15" s="671">
        <f t="shared" si="8"/>
        <v>7850</v>
      </c>
      <c r="AB15" s="671">
        <f t="shared" si="9"/>
        <v>10</v>
      </c>
      <c r="AE15" s="651">
        <f t="shared" si="1"/>
        <v>31</v>
      </c>
      <c r="AF15" s="651">
        <f t="shared" si="2"/>
        <v>37</v>
      </c>
      <c r="AG15" s="727">
        <f t="shared" si="10"/>
        <v>6.0827625302982193</v>
      </c>
      <c r="AH15" s="727">
        <f t="shared" si="11"/>
        <v>101.66210024238573</v>
      </c>
    </row>
    <row r="16" spans="1:34" ht="16">
      <c r="A16" s="254">
        <f t="shared" si="0"/>
        <v>6567.19336311185</v>
      </c>
      <c r="B16" s="254">
        <f t="shared" si="0"/>
        <v>43709.669624467067</v>
      </c>
      <c r="C16" s="254">
        <f t="shared" si="0"/>
        <v>5838.5431748860683</v>
      </c>
      <c r="D16" s="255">
        <f t="shared" si="3"/>
        <v>56115.406162464991</v>
      </c>
      <c r="E16" s="257">
        <v>71.484593837535016</v>
      </c>
      <c r="H16" s="698" t="s">
        <v>992</v>
      </c>
      <c r="I16" s="698">
        <v>2</v>
      </c>
      <c r="J16" s="698" t="s">
        <v>924</v>
      </c>
      <c r="K16" s="698"/>
      <c r="L16" s="699">
        <v>2</v>
      </c>
      <c r="M16" s="700">
        <v>785</v>
      </c>
      <c r="O16" s="664">
        <f t="shared" si="4"/>
        <v>3140</v>
      </c>
      <c r="P16" s="699">
        <v>4</v>
      </c>
      <c r="R16" s="664">
        <f t="shared" si="5"/>
        <v>0</v>
      </c>
      <c r="S16" s="699"/>
      <c r="U16" s="664">
        <f t="shared" si="6"/>
        <v>0</v>
      </c>
      <c r="X16" s="664">
        <f t="shared" si="7"/>
        <v>0</v>
      </c>
      <c r="AA16" s="671">
        <f t="shared" si="8"/>
        <v>3140</v>
      </c>
      <c r="AB16" s="671">
        <f t="shared" si="9"/>
        <v>4</v>
      </c>
      <c r="AE16" s="651">
        <f t="shared" si="1"/>
        <v>31</v>
      </c>
      <c r="AF16" s="651">
        <f t="shared" si="2"/>
        <v>37</v>
      </c>
      <c r="AG16" s="727">
        <f t="shared" si="10"/>
        <v>6.0827625302982193</v>
      </c>
      <c r="AH16" s="727">
        <f t="shared" si="11"/>
        <v>101.66210024238573</v>
      </c>
    </row>
    <row r="17" spans="1:34" ht="16">
      <c r="A17" s="254">
        <f t="shared" si="0"/>
        <v>7337.3211253537538</v>
      </c>
      <c r="B17" s="254">
        <f t="shared" si="0"/>
        <v>48835.455968037291</v>
      </c>
      <c r="C17" s="254">
        <f t="shared" si="0"/>
        <v>6523.2229066089558</v>
      </c>
      <c r="D17" s="255">
        <f t="shared" si="3"/>
        <v>62696</v>
      </c>
      <c r="E17" s="257">
        <v>68</v>
      </c>
      <c r="H17" s="698" t="s">
        <v>1009</v>
      </c>
      <c r="I17" s="698">
        <v>2</v>
      </c>
      <c r="J17" s="698" t="s">
        <v>924</v>
      </c>
      <c r="K17" s="698"/>
      <c r="L17" s="699">
        <v>3</v>
      </c>
      <c r="M17" s="700">
        <v>922</v>
      </c>
      <c r="O17" s="664">
        <f t="shared" si="4"/>
        <v>8298</v>
      </c>
      <c r="P17" s="699">
        <v>9</v>
      </c>
      <c r="R17" s="664">
        <f t="shared" si="5"/>
        <v>0</v>
      </c>
      <c r="S17" s="699"/>
      <c r="U17" s="664">
        <f t="shared" si="6"/>
        <v>0</v>
      </c>
      <c r="X17" s="664">
        <f t="shared" si="7"/>
        <v>0</v>
      </c>
      <c r="AA17" s="671">
        <f t="shared" si="8"/>
        <v>8298</v>
      </c>
      <c r="AB17" s="671">
        <f t="shared" si="9"/>
        <v>9</v>
      </c>
      <c r="AE17" s="651">
        <f t="shared" si="1"/>
        <v>33</v>
      </c>
      <c r="AF17" s="651">
        <f t="shared" si="2"/>
        <v>43</v>
      </c>
      <c r="AG17" s="727">
        <f t="shared" si="10"/>
        <v>6.5574385243020004</v>
      </c>
      <c r="AH17" s="727">
        <f t="shared" si="11"/>
        <v>111.459508194416</v>
      </c>
    </row>
    <row r="18" spans="1:34" ht="16">
      <c r="A18" s="254">
        <f t="shared" si="0"/>
        <v>7723.0151744937848</v>
      </c>
      <c r="B18" s="254">
        <f t="shared" si="0"/>
        <v>51402.543387562473</v>
      </c>
      <c r="C18" s="254">
        <f t="shared" si="0"/>
        <v>6866.1230214205052</v>
      </c>
      <c r="D18" s="255">
        <f t="shared" si="3"/>
        <v>65991.681583476762</v>
      </c>
      <c r="E18" s="257">
        <v>70.654905335628229</v>
      </c>
      <c r="H18" s="698" t="s">
        <v>1010</v>
      </c>
      <c r="I18" s="698">
        <v>2</v>
      </c>
      <c r="J18" s="698" t="s">
        <v>924</v>
      </c>
      <c r="K18" s="698"/>
      <c r="L18" s="699">
        <v>3</v>
      </c>
      <c r="M18" s="700">
        <v>934</v>
      </c>
      <c r="O18" s="664">
        <f t="shared" si="4"/>
        <v>11208</v>
      </c>
      <c r="P18" s="699">
        <v>12</v>
      </c>
      <c r="R18" s="664">
        <f t="shared" si="5"/>
        <v>0</v>
      </c>
      <c r="S18" s="699"/>
      <c r="U18" s="664">
        <f t="shared" si="6"/>
        <v>0</v>
      </c>
      <c r="X18" s="664">
        <f t="shared" si="7"/>
        <v>0</v>
      </c>
      <c r="AA18" s="671">
        <f t="shared" si="8"/>
        <v>11208</v>
      </c>
      <c r="AB18" s="671">
        <f t="shared" si="9"/>
        <v>12</v>
      </c>
      <c r="AE18" s="651">
        <f t="shared" si="1"/>
        <v>33</v>
      </c>
      <c r="AF18" s="651">
        <f t="shared" si="2"/>
        <v>44</v>
      </c>
      <c r="AG18" s="727">
        <f t="shared" si="10"/>
        <v>6.6332495807107996</v>
      </c>
      <c r="AH18" s="727">
        <f t="shared" si="11"/>
        <v>113.0659966456864</v>
      </c>
    </row>
    <row r="19" spans="1:34" ht="16">
      <c r="A19" s="254">
        <f t="shared" si="0"/>
        <v>7692.7497661406178</v>
      </c>
      <c r="B19" s="254">
        <f t="shared" si="0"/>
        <v>51201.104062264509</v>
      </c>
      <c r="C19" s="254">
        <f t="shared" si="0"/>
        <v>6839.2156526854706</v>
      </c>
      <c r="D19" s="255">
        <f t="shared" si="3"/>
        <v>65733.069481090599</v>
      </c>
      <c r="E19" s="257">
        <v>67.766051011433603</v>
      </c>
      <c r="H19" s="698" t="s">
        <v>994</v>
      </c>
      <c r="I19" s="698">
        <v>2</v>
      </c>
      <c r="J19" s="698" t="s">
        <v>924</v>
      </c>
      <c r="K19" s="698"/>
      <c r="L19" s="699">
        <v>3</v>
      </c>
      <c r="M19" s="700">
        <v>970</v>
      </c>
      <c r="O19" s="664">
        <f t="shared" si="4"/>
        <v>27160</v>
      </c>
      <c r="P19" s="699">
        <v>28</v>
      </c>
      <c r="R19" s="664">
        <f t="shared" si="5"/>
        <v>0</v>
      </c>
      <c r="S19" s="699"/>
      <c r="U19" s="664">
        <f t="shared" si="6"/>
        <v>0</v>
      </c>
      <c r="X19" s="664">
        <f t="shared" si="7"/>
        <v>0</v>
      </c>
      <c r="AA19" s="671">
        <f t="shared" si="8"/>
        <v>27160</v>
      </c>
      <c r="AB19" s="671">
        <f t="shared" si="9"/>
        <v>28</v>
      </c>
      <c r="AE19" s="651">
        <f t="shared" si="1"/>
        <v>34</v>
      </c>
      <c r="AF19" s="651">
        <f t="shared" si="2"/>
        <v>46</v>
      </c>
      <c r="AG19" s="727">
        <f t="shared" si="10"/>
        <v>6.7823299831252681</v>
      </c>
      <c r="AH19" s="727">
        <f t="shared" si="11"/>
        <v>116.25863986500217</v>
      </c>
    </row>
    <row r="20" spans="1:34" ht="16">
      <c r="A20" s="254">
        <f t="shared" si="0"/>
        <v>7719.3074746129514</v>
      </c>
      <c r="B20" s="254">
        <f t="shared" si="0"/>
        <v>51377.865823206259</v>
      </c>
      <c r="C20" s="254">
        <f t="shared" si="0"/>
        <v>6862.8267021807887</v>
      </c>
      <c r="D20" s="255">
        <f t="shared" si="3"/>
        <v>65960</v>
      </c>
      <c r="E20" s="257">
        <v>68</v>
      </c>
      <c r="H20" s="698" t="s">
        <v>995</v>
      </c>
      <c r="I20" s="698">
        <v>2</v>
      </c>
      <c r="J20" s="698" t="s">
        <v>924</v>
      </c>
      <c r="K20" s="698"/>
      <c r="L20" s="699">
        <v>3</v>
      </c>
      <c r="M20" s="700">
        <v>970</v>
      </c>
      <c r="O20" s="664">
        <f t="shared" si="4"/>
        <v>5820</v>
      </c>
      <c r="P20" s="699">
        <v>6</v>
      </c>
      <c r="R20" s="664">
        <f t="shared" si="5"/>
        <v>0</v>
      </c>
      <c r="S20" s="699"/>
      <c r="U20" s="664">
        <f t="shared" si="6"/>
        <v>0</v>
      </c>
      <c r="X20" s="664">
        <f t="shared" si="7"/>
        <v>0</v>
      </c>
      <c r="AA20" s="671">
        <f t="shared" si="8"/>
        <v>5820</v>
      </c>
      <c r="AB20" s="671">
        <f t="shared" si="9"/>
        <v>6</v>
      </c>
      <c r="AE20" s="651">
        <f t="shared" si="1"/>
        <v>34</v>
      </c>
      <c r="AF20" s="651">
        <f t="shared" si="2"/>
        <v>46</v>
      </c>
      <c r="AG20" s="727">
        <f t="shared" si="10"/>
        <v>6.7823299831252681</v>
      </c>
      <c r="AH20" s="727">
        <f t="shared" si="11"/>
        <v>116.25863986500217</v>
      </c>
    </row>
    <row r="21" spans="1:34" ht="16">
      <c r="A21" s="254">
        <f t="shared" si="0"/>
        <v>7628.3429704206619</v>
      </c>
      <c r="B21" s="254">
        <f t="shared" si="0"/>
        <v>50772.427821619174</v>
      </c>
      <c r="C21" s="254">
        <f t="shared" si="0"/>
        <v>6781.9549879273309</v>
      </c>
      <c r="D21" s="255">
        <f t="shared" si="3"/>
        <v>65182.725779967172</v>
      </c>
      <c r="E21" s="257">
        <v>67.198686371100166</v>
      </c>
      <c r="H21" s="698" t="s">
        <v>996</v>
      </c>
      <c r="I21" s="698">
        <v>2</v>
      </c>
      <c r="J21" s="698" t="s">
        <v>924</v>
      </c>
      <c r="K21" s="698"/>
      <c r="L21" s="699">
        <v>3</v>
      </c>
      <c r="M21" s="700">
        <v>970</v>
      </c>
      <c r="O21" s="664">
        <f t="shared" si="4"/>
        <v>12610</v>
      </c>
      <c r="P21" s="699">
        <v>13</v>
      </c>
      <c r="R21" s="664">
        <f t="shared" si="5"/>
        <v>0</v>
      </c>
      <c r="S21" s="699"/>
      <c r="U21" s="664">
        <f t="shared" si="6"/>
        <v>0</v>
      </c>
      <c r="X21" s="664">
        <f t="shared" si="7"/>
        <v>0</v>
      </c>
      <c r="AA21" s="671">
        <f t="shared" si="8"/>
        <v>12610</v>
      </c>
      <c r="AB21" s="671">
        <f t="shared" si="9"/>
        <v>13</v>
      </c>
      <c r="AE21" s="651">
        <f>ROUNDUP(((SQRT((M21/10.764)/2))*6),0)</f>
        <v>41</v>
      </c>
      <c r="AF21" s="651">
        <f t="shared" si="2"/>
        <v>46</v>
      </c>
      <c r="AG21" s="727">
        <f t="shared" si="10"/>
        <v>6.7823299831252681</v>
      </c>
      <c r="AH21" s="727">
        <f t="shared" si="11"/>
        <v>116.25863986500217</v>
      </c>
    </row>
    <row r="22" spans="1:34" ht="16">
      <c r="A22" s="254">
        <f t="shared" si="0"/>
        <v>7918.2586981854502</v>
      </c>
      <c r="B22" s="254">
        <f t="shared" si="0"/>
        <v>52702.03762277343</v>
      </c>
      <c r="C22" s="254">
        <f t="shared" si="0"/>
        <v>7039.7036790411184</v>
      </c>
      <c r="D22" s="255">
        <f t="shared" si="3"/>
        <v>67660</v>
      </c>
      <c r="E22" s="257">
        <v>68</v>
      </c>
      <c r="H22" s="698" t="s">
        <v>998</v>
      </c>
      <c r="I22" s="698">
        <v>2</v>
      </c>
      <c r="J22" s="698" t="s">
        <v>923</v>
      </c>
      <c r="K22" s="698"/>
      <c r="L22" s="699">
        <v>3</v>
      </c>
      <c r="M22" s="700">
        <v>995</v>
      </c>
      <c r="O22" s="664">
        <f t="shared" si="4"/>
        <v>1990</v>
      </c>
      <c r="P22" s="699">
        <v>2</v>
      </c>
      <c r="R22" s="664">
        <f t="shared" si="5"/>
        <v>0</v>
      </c>
      <c r="S22" s="699"/>
      <c r="U22" s="664">
        <f t="shared" si="6"/>
        <v>0</v>
      </c>
      <c r="X22" s="664">
        <f t="shared" si="7"/>
        <v>0</v>
      </c>
      <c r="AA22" s="671">
        <f t="shared" si="8"/>
        <v>1990</v>
      </c>
      <c r="AB22" s="671">
        <f t="shared" si="9"/>
        <v>2</v>
      </c>
      <c r="AE22" s="651">
        <f t="shared" ref="AE22:AE33" si="12">ROUNDUP(((SQRT((M22/10.764)/2))*6),0)</f>
        <v>41</v>
      </c>
      <c r="AF22" s="651">
        <f t="shared" si="2"/>
        <v>47</v>
      </c>
      <c r="AG22" s="727">
        <f t="shared" si="10"/>
        <v>6.8556546004010439</v>
      </c>
      <c r="AH22" s="727">
        <f t="shared" si="11"/>
        <v>117.84523680320835</v>
      </c>
    </row>
    <row r="23" spans="1:34" ht="16">
      <c r="A23" s="254">
        <f t="shared" si="0"/>
        <v>7918.2586981854502</v>
      </c>
      <c r="B23" s="254">
        <f t="shared" si="0"/>
        <v>52702.03762277343</v>
      </c>
      <c r="C23" s="254">
        <f t="shared" si="0"/>
        <v>7039.7036790411184</v>
      </c>
      <c r="D23" s="255">
        <f t="shared" si="3"/>
        <v>67660</v>
      </c>
      <c r="E23" s="257">
        <v>68</v>
      </c>
      <c r="H23" s="698" t="s">
        <v>997</v>
      </c>
      <c r="I23" s="698">
        <v>2</v>
      </c>
      <c r="J23" s="698" t="s">
        <v>924</v>
      </c>
      <c r="K23" s="698"/>
      <c r="L23" s="699">
        <v>3</v>
      </c>
      <c r="M23" s="700">
        <v>995</v>
      </c>
      <c r="O23" s="664">
        <f t="shared" si="4"/>
        <v>4975</v>
      </c>
      <c r="P23" s="699">
        <v>5</v>
      </c>
      <c r="R23" s="664">
        <f t="shared" si="5"/>
        <v>0</v>
      </c>
      <c r="S23" s="699"/>
      <c r="U23" s="664">
        <f t="shared" si="6"/>
        <v>0</v>
      </c>
      <c r="X23" s="664">
        <f t="shared" si="7"/>
        <v>0</v>
      </c>
      <c r="AA23" s="671">
        <f t="shared" si="8"/>
        <v>4975</v>
      </c>
      <c r="AB23" s="671">
        <f t="shared" si="9"/>
        <v>5</v>
      </c>
      <c r="AE23" s="651">
        <f t="shared" si="12"/>
        <v>41</v>
      </c>
      <c r="AF23" s="651">
        <f t="shared" si="2"/>
        <v>47</v>
      </c>
      <c r="AG23" s="727">
        <f t="shared" si="10"/>
        <v>6.8556546004010439</v>
      </c>
      <c r="AH23" s="727">
        <f t="shared" si="11"/>
        <v>117.84523680320835</v>
      </c>
    </row>
    <row r="24" spans="1:34" ht="16">
      <c r="A24" s="254">
        <f t="shared" si="0"/>
        <v>8324.1191942733476</v>
      </c>
      <c r="B24" s="254">
        <f t="shared" si="0"/>
        <v>55403.348093890461</v>
      </c>
      <c r="C24" s="254">
        <f t="shared" si="0"/>
        <v>7400.5327118361911</v>
      </c>
      <c r="D24" s="255">
        <f t="shared" si="3"/>
        <v>71128</v>
      </c>
      <c r="E24" s="257">
        <v>68</v>
      </c>
      <c r="H24" s="698" t="s">
        <v>999</v>
      </c>
      <c r="I24" s="698">
        <v>2</v>
      </c>
      <c r="J24" s="698" t="s">
        <v>924</v>
      </c>
      <c r="K24" s="698"/>
      <c r="L24" s="699">
        <v>3</v>
      </c>
      <c r="M24" s="700">
        <v>1046</v>
      </c>
      <c r="O24" s="664">
        <f t="shared" si="4"/>
        <v>4184</v>
      </c>
      <c r="P24" s="699">
        <v>4</v>
      </c>
      <c r="R24" s="664">
        <f t="shared" si="5"/>
        <v>0</v>
      </c>
      <c r="S24" s="699"/>
      <c r="U24" s="664">
        <f t="shared" si="6"/>
        <v>0</v>
      </c>
      <c r="X24" s="664">
        <f t="shared" si="7"/>
        <v>0</v>
      </c>
      <c r="AA24" s="671">
        <f t="shared" si="8"/>
        <v>4184</v>
      </c>
      <c r="AB24" s="671">
        <f t="shared" si="9"/>
        <v>4</v>
      </c>
      <c r="AE24" s="651">
        <f t="shared" si="12"/>
        <v>42</v>
      </c>
      <c r="AF24" s="651">
        <f t="shared" si="2"/>
        <v>49</v>
      </c>
      <c r="AG24" s="727">
        <f t="shared" si="10"/>
        <v>7</v>
      </c>
      <c r="AH24" s="727">
        <f t="shared" si="11"/>
        <v>121</v>
      </c>
    </row>
    <row r="25" spans="1:34" ht="16">
      <c r="A25" s="254">
        <f t="shared" si="0"/>
        <v>8928.9309139337438</v>
      </c>
      <c r="B25" s="254">
        <f t="shared" si="0"/>
        <v>59428.830364574664</v>
      </c>
      <c r="C25" s="254">
        <f t="shared" si="0"/>
        <v>7938.2387214915925</v>
      </c>
      <c r="D25" s="255">
        <f>SUM(A25:C25)</f>
        <v>76296</v>
      </c>
      <c r="E25" s="257">
        <v>68</v>
      </c>
      <c r="H25" s="698" t="s">
        <v>1001</v>
      </c>
      <c r="I25" s="698">
        <v>2.5</v>
      </c>
      <c r="J25" s="698" t="s">
        <v>924</v>
      </c>
      <c r="K25" s="698" t="s">
        <v>920</v>
      </c>
      <c r="L25" s="699">
        <v>3</v>
      </c>
      <c r="M25" s="700">
        <v>1122</v>
      </c>
      <c r="O25" s="664">
        <f t="shared" si="4"/>
        <v>8976</v>
      </c>
      <c r="P25" s="699">
        <v>8</v>
      </c>
      <c r="R25" s="664">
        <f t="shared" si="5"/>
        <v>0</v>
      </c>
      <c r="S25" s="699"/>
      <c r="U25" s="664">
        <f t="shared" si="6"/>
        <v>0</v>
      </c>
      <c r="X25" s="664">
        <f t="shared" si="7"/>
        <v>0</v>
      </c>
      <c r="AA25" s="671">
        <f t="shared" si="8"/>
        <v>8976</v>
      </c>
      <c r="AB25" s="671">
        <f t="shared" si="9"/>
        <v>8</v>
      </c>
      <c r="AE25" s="651">
        <f t="shared" si="12"/>
        <v>44</v>
      </c>
      <c r="AF25" s="651">
        <f t="shared" si="2"/>
        <v>53</v>
      </c>
      <c r="AG25" s="727">
        <f t="shared" si="10"/>
        <v>7.2801098892805181</v>
      </c>
      <c r="AH25" s="727">
        <f t="shared" si="11"/>
        <v>127.24087911424412</v>
      </c>
    </row>
    <row r="26" spans="1:34" ht="16">
      <c r="A26" s="254"/>
      <c r="B26" s="254"/>
      <c r="C26" s="254"/>
      <c r="D26" s="255"/>
      <c r="E26" s="257"/>
      <c r="H26" s="698" t="s">
        <v>1003</v>
      </c>
      <c r="I26" s="698">
        <v>2</v>
      </c>
      <c r="J26" s="698" t="s">
        <v>924</v>
      </c>
      <c r="K26" s="698" t="s">
        <v>920</v>
      </c>
      <c r="L26" s="699">
        <v>3</v>
      </c>
      <c r="M26" s="700">
        <v>1225</v>
      </c>
      <c r="O26" s="664">
        <f t="shared" si="4"/>
        <v>6125</v>
      </c>
      <c r="P26" s="699">
        <v>5</v>
      </c>
      <c r="R26" s="664">
        <f t="shared" si="5"/>
        <v>0</v>
      </c>
      <c r="S26" s="699"/>
      <c r="U26" s="664">
        <f t="shared" si="6"/>
        <v>0</v>
      </c>
      <c r="X26" s="664">
        <f t="shared" si="7"/>
        <v>0</v>
      </c>
      <c r="AA26" s="671">
        <f t="shared" ref="AA26:AA33" si="13">O26+R26+U26+X26</f>
        <v>6125</v>
      </c>
      <c r="AB26" s="671">
        <f t="shared" ref="AB26:AB33" si="14">P26+S26+V26+Y26</f>
        <v>5</v>
      </c>
      <c r="AE26" s="651">
        <f t="shared" si="12"/>
        <v>46</v>
      </c>
      <c r="AF26" s="651">
        <f t="shared" si="2"/>
        <v>57</v>
      </c>
      <c r="AG26" s="727">
        <f t="shared" si="10"/>
        <v>7.5498344352707498</v>
      </c>
      <c r="AH26" s="727">
        <f t="shared" si="11"/>
        <v>133.398675482166</v>
      </c>
    </row>
    <row r="27" spans="1:34" ht="16">
      <c r="A27" s="254"/>
      <c r="B27" s="254"/>
      <c r="C27" s="254"/>
      <c r="D27" s="255"/>
      <c r="E27" s="257"/>
      <c r="H27" s="698" t="s">
        <v>993</v>
      </c>
      <c r="I27" s="698">
        <v>2</v>
      </c>
      <c r="J27" s="698" t="s">
        <v>921</v>
      </c>
      <c r="K27" s="698"/>
      <c r="L27" s="699">
        <v>3</v>
      </c>
      <c r="M27" s="700">
        <v>952</v>
      </c>
      <c r="O27" s="664">
        <f t="shared" si="4"/>
        <v>6664</v>
      </c>
      <c r="P27" s="699">
        <v>7</v>
      </c>
      <c r="R27" s="664">
        <f t="shared" si="5"/>
        <v>0</v>
      </c>
      <c r="S27" s="699"/>
      <c r="U27" s="664">
        <f t="shared" si="6"/>
        <v>0</v>
      </c>
      <c r="X27" s="664">
        <f t="shared" si="7"/>
        <v>0</v>
      </c>
      <c r="AA27" s="671">
        <f t="shared" si="13"/>
        <v>6664</v>
      </c>
      <c r="AB27" s="671">
        <f t="shared" si="14"/>
        <v>7</v>
      </c>
      <c r="AE27" s="651">
        <f t="shared" si="12"/>
        <v>40</v>
      </c>
      <c r="AF27" s="651">
        <f t="shared" si="2"/>
        <v>45</v>
      </c>
      <c r="AG27" s="727">
        <f t="shared" si="10"/>
        <v>6.7082039324993694</v>
      </c>
      <c r="AH27" s="727">
        <f t="shared" si="11"/>
        <v>114.66563145999496</v>
      </c>
    </row>
    <row r="28" spans="1:34" ht="16">
      <c r="A28" s="254"/>
      <c r="B28" s="254"/>
      <c r="C28" s="254"/>
      <c r="D28" s="255"/>
      <c r="E28" s="257"/>
      <c r="H28" s="698" t="s">
        <v>1004</v>
      </c>
      <c r="I28" s="698">
        <v>2</v>
      </c>
      <c r="J28" s="698" t="s">
        <v>924</v>
      </c>
      <c r="K28" s="698" t="s">
        <v>920</v>
      </c>
      <c r="L28" s="699">
        <v>3</v>
      </c>
      <c r="M28" s="700">
        <v>1551</v>
      </c>
      <c r="O28" s="664">
        <f>P28*M28</f>
        <v>7755</v>
      </c>
      <c r="P28" s="699">
        <v>5</v>
      </c>
      <c r="R28" s="664">
        <f>S28*M28</f>
        <v>0</v>
      </c>
      <c r="S28" s="699"/>
      <c r="U28" s="664">
        <f>V28*M28</f>
        <v>0</v>
      </c>
      <c r="X28" s="664">
        <f>Y28*M28</f>
        <v>0</v>
      </c>
      <c r="AA28" s="671">
        <f t="shared" ref="AA28:AB30" si="15">O28+R28+U28+X28</f>
        <v>7755</v>
      </c>
      <c r="AB28" s="671">
        <f t="shared" si="15"/>
        <v>5</v>
      </c>
      <c r="AE28" s="651">
        <f>ROUNDUP(((SQRT((M28/10.764)/2))*6),0)</f>
        <v>51</v>
      </c>
      <c r="AF28" s="651">
        <f>ROUNDUP(((SQRT((M28/10.764)/2))*(SQRT((M28/10.764)/2))),0)</f>
        <v>73</v>
      </c>
      <c r="AG28" s="727">
        <f>SQRT(AF28)</f>
        <v>8.5440037453175304</v>
      </c>
      <c r="AH28" s="727">
        <f>(AG28+2+2)*(AG28+2+2)</f>
        <v>157.35202996254023</v>
      </c>
    </row>
    <row r="29" spans="1:34" ht="16">
      <c r="A29" s="254"/>
      <c r="B29" s="254"/>
      <c r="C29" s="254"/>
      <c r="D29" s="255"/>
      <c r="E29" s="257"/>
      <c r="H29" s="698"/>
      <c r="I29" s="698"/>
      <c r="J29" s="698"/>
      <c r="K29" s="698"/>
      <c r="L29" s="699"/>
      <c r="M29" s="700"/>
      <c r="O29" s="664">
        <f>P29*M29</f>
        <v>0</v>
      </c>
      <c r="P29" s="699"/>
      <c r="R29" s="664">
        <f>S29*M29</f>
        <v>0</v>
      </c>
      <c r="S29" s="699"/>
      <c r="U29" s="664">
        <f>V29*M29</f>
        <v>0</v>
      </c>
      <c r="X29" s="664">
        <f>Y29*M29</f>
        <v>0</v>
      </c>
      <c r="AA29" s="671">
        <f t="shared" si="15"/>
        <v>0</v>
      </c>
      <c r="AB29" s="671">
        <f t="shared" si="15"/>
        <v>0</v>
      </c>
      <c r="AE29" s="651">
        <f>ROUNDUP(((SQRT((M29/10.764)/2))*6),0)</f>
        <v>0</v>
      </c>
      <c r="AF29" s="651">
        <f>ROUNDUP(((SQRT((M29/10.764)/2))*(SQRT((M29/10.764)/2))),0)</f>
        <v>0</v>
      </c>
      <c r="AG29" s="727">
        <f>SQRT(AF29)</f>
        <v>0</v>
      </c>
      <c r="AH29" s="727">
        <f>(AG29+2+2)*(AG29+2+2)</f>
        <v>16</v>
      </c>
    </row>
    <row r="30" spans="1:34" ht="16">
      <c r="A30" s="254"/>
      <c r="B30" s="254"/>
      <c r="C30" s="254"/>
      <c r="D30" s="255"/>
      <c r="E30" s="257"/>
      <c r="H30" s="698"/>
      <c r="I30" s="698"/>
      <c r="J30" s="698"/>
      <c r="K30" s="698"/>
      <c r="L30" s="699"/>
      <c r="M30" s="700"/>
      <c r="O30" s="664">
        <f>P30*M30</f>
        <v>0</v>
      </c>
      <c r="P30" s="699"/>
      <c r="R30" s="664">
        <f>S30*M30</f>
        <v>0</v>
      </c>
      <c r="S30" s="699"/>
      <c r="U30" s="664">
        <f>V30*M30</f>
        <v>0</v>
      </c>
      <c r="X30" s="664">
        <f>Y30*M30</f>
        <v>0</v>
      </c>
      <c r="AA30" s="671">
        <f t="shared" si="15"/>
        <v>0</v>
      </c>
      <c r="AB30" s="671">
        <f t="shared" si="15"/>
        <v>0</v>
      </c>
      <c r="AE30" s="651">
        <f>ROUNDUP(((SQRT((M30/10.764)/2))*6),0)</f>
        <v>0</v>
      </c>
      <c r="AF30" s="651">
        <f>ROUNDUP(((SQRT((M30/10.764)/2))*(SQRT((M30/10.764)/2))),0)</f>
        <v>0</v>
      </c>
      <c r="AG30" s="727">
        <f>SQRT(AF30)</f>
        <v>0</v>
      </c>
      <c r="AH30" s="727">
        <f>(AG30+2+2)*(AG30+2+2)</f>
        <v>16</v>
      </c>
    </row>
    <row r="31" spans="1:34" ht="16">
      <c r="A31" s="254"/>
      <c r="B31" s="254"/>
      <c r="C31" s="254"/>
      <c r="D31" s="255"/>
      <c r="E31" s="257"/>
      <c r="H31" s="698"/>
      <c r="I31" s="698"/>
      <c r="J31" s="698"/>
      <c r="K31" s="698"/>
      <c r="L31" s="699"/>
      <c r="M31" s="700"/>
      <c r="O31" s="664">
        <f t="shared" si="4"/>
        <v>0</v>
      </c>
      <c r="P31" s="699"/>
      <c r="R31" s="664">
        <f t="shared" si="5"/>
        <v>0</v>
      </c>
      <c r="S31" s="699"/>
      <c r="U31" s="664">
        <f t="shared" si="6"/>
        <v>0</v>
      </c>
      <c r="X31" s="664">
        <f t="shared" si="7"/>
        <v>0</v>
      </c>
      <c r="AA31" s="671">
        <f t="shared" si="13"/>
        <v>0</v>
      </c>
      <c r="AB31" s="671">
        <f t="shared" si="14"/>
        <v>0</v>
      </c>
      <c r="AE31" s="651">
        <f t="shared" si="12"/>
        <v>0</v>
      </c>
      <c r="AF31" s="651">
        <f t="shared" si="2"/>
        <v>0</v>
      </c>
      <c r="AG31" s="727">
        <f t="shared" si="10"/>
        <v>0</v>
      </c>
      <c r="AH31" s="727">
        <f t="shared" si="11"/>
        <v>16</v>
      </c>
    </row>
    <row r="32" spans="1:34" ht="16">
      <c r="A32" s="254"/>
      <c r="B32" s="254"/>
      <c r="C32" s="254"/>
      <c r="D32" s="255"/>
      <c r="E32" s="257"/>
      <c r="H32" s="698"/>
      <c r="I32" s="698"/>
      <c r="J32" s="698"/>
      <c r="K32" s="698"/>
      <c r="L32" s="699"/>
      <c r="M32" s="700"/>
      <c r="O32" s="664">
        <f t="shared" si="4"/>
        <v>0</v>
      </c>
      <c r="P32" s="699"/>
      <c r="R32" s="664">
        <f t="shared" si="5"/>
        <v>0</v>
      </c>
      <c r="S32" s="699"/>
      <c r="U32" s="664">
        <f t="shared" si="6"/>
        <v>0</v>
      </c>
      <c r="X32" s="664">
        <f t="shared" si="7"/>
        <v>0</v>
      </c>
      <c r="AA32" s="671">
        <f t="shared" si="13"/>
        <v>0</v>
      </c>
      <c r="AB32" s="671">
        <f t="shared" si="14"/>
        <v>0</v>
      </c>
      <c r="AE32" s="651">
        <f t="shared" si="12"/>
        <v>0</v>
      </c>
      <c r="AF32" s="651">
        <f t="shared" si="2"/>
        <v>0</v>
      </c>
      <c r="AG32" s="727">
        <f t="shared" si="10"/>
        <v>0</v>
      </c>
      <c r="AH32" s="727">
        <f t="shared" si="11"/>
        <v>16</v>
      </c>
    </row>
    <row r="33" spans="1:34" ht="16">
      <c r="A33" s="254"/>
      <c r="B33" s="254"/>
      <c r="C33" s="254"/>
      <c r="D33" s="255"/>
      <c r="E33" s="257"/>
      <c r="H33" s="698"/>
      <c r="I33" s="698"/>
      <c r="J33" s="698"/>
      <c r="K33" s="698"/>
      <c r="L33" s="699"/>
      <c r="M33" s="700"/>
      <c r="O33" s="664">
        <f t="shared" si="4"/>
        <v>0</v>
      </c>
      <c r="P33" s="699"/>
      <c r="R33" s="664">
        <f t="shared" si="5"/>
        <v>0</v>
      </c>
      <c r="S33" s="699"/>
      <c r="U33" s="664">
        <f t="shared" si="6"/>
        <v>0</v>
      </c>
      <c r="X33" s="664">
        <f t="shared" si="7"/>
        <v>0</v>
      </c>
      <c r="AA33" s="671">
        <f t="shared" si="13"/>
        <v>0</v>
      </c>
      <c r="AB33" s="671">
        <f t="shared" si="14"/>
        <v>0</v>
      </c>
      <c r="AE33" s="651">
        <f t="shared" si="12"/>
        <v>0</v>
      </c>
      <c r="AF33" s="651">
        <f t="shared" si="2"/>
        <v>0</v>
      </c>
      <c r="AG33" s="727">
        <f t="shared" si="10"/>
        <v>0</v>
      </c>
      <c r="AH33" s="727">
        <f t="shared" si="11"/>
        <v>16</v>
      </c>
    </row>
    <row r="34" spans="1:34" ht="16">
      <c r="A34" s="254"/>
      <c r="B34" s="254"/>
      <c r="C34" s="254"/>
      <c r="D34" s="255"/>
      <c r="E34" s="257"/>
      <c r="H34" s="698"/>
      <c r="I34" s="698"/>
      <c r="J34" s="698"/>
      <c r="K34" s="698"/>
      <c r="L34" s="699"/>
      <c r="M34" s="700"/>
      <c r="P34" s="699"/>
      <c r="S34" s="699"/>
      <c r="AA34" s="671"/>
      <c r="AB34" s="671"/>
      <c r="AE34" s="651"/>
      <c r="AF34" s="651"/>
      <c r="AG34" s="727"/>
      <c r="AH34" s="727"/>
    </row>
    <row r="35" spans="1:34">
      <c r="A35" s="254"/>
      <c r="B35" s="254"/>
      <c r="C35" s="254"/>
      <c r="G35" s="246" t="s">
        <v>932</v>
      </c>
    </row>
    <row r="36" spans="1:34" ht="16">
      <c r="A36" s="254">
        <f t="shared" ref="A36:C50" si="16">($M36*$E36)*A$9</f>
        <v>6891.6703845513566</v>
      </c>
      <c r="B36" s="254">
        <f t="shared" si="16"/>
        <v>45869.311137006829</v>
      </c>
      <c r="C36" s="254">
        <f t="shared" si="16"/>
        <v>6127.0184784418179</v>
      </c>
      <c r="D36" s="255">
        <f>SUM(A36:C36)</f>
        <v>58888</v>
      </c>
      <c r="E36" s="257">
        <v>68</v>
      </c>
      <c r="H36" s="698" t="s">
        <v>989</v>
      </c>
      <c r="I36" s="698">
        <v>2</v>
      </c>
      <c r="J36" s="698" t="s">
        <v>924</v>
      </c>
      <c r="K36" s="698"/>
      <c r="L36" s="699">
        <v>2</v>
      </c>
      <c r="M36" s="700">
        <v>866</v>
      </c>
      <c r="O36" s="664">
        <f>P36*M36</f>
        <v>3464</v>
      </c>
      <c r="P36" s="699">
        <v>4</v>
      </c>
      <c r="R36" s="664">
        <f>S36*M36</f>
        <v>0</v>
      </c>
      <c r="S36" s="699"/>
      <c r="U36" s="664">
        <f>V36*M36</f>
        <v>0</v>
      </c>
      <c r="X36" s="664">
        <f>Y36*M36</f>
        <v>0</v>
      </c>
      <c r="AA36" s="671">
        <f>O36+R36+U36+X36</f>
        <v>3464</v>
      </c>
      <c r="AB36" s="671">
        <f>P36+S36+V36+Y36</f>
        <v>4</v>
      </c>
      <c r="AE36" s="651">
        <f t="shared" ref="AE36:AE45" si="17">ROUNDUP(((SQRT((M36/10.764)/2))*5),0)</f>
        <v>32</v>
      </c>
      <c r="AF36" s="651">
        <f t="shared" ref="AF36:AF55" si="18">ROUNDUP(((SQRT((M36/10.764)/2))*(SQRT((M36/10.764)/2))),0)</f>
        <v>41</v>
      </c>
      <c r="AG36" s="727">
        <f>SQRT(AF36)</f>
        <v>6.4031242374328485</v>
      </c>
      <c r="AH36" s="727">
        <f>(AG36+2+2)*(AG36+2+2)</f>
        <v>108.22499389946279</v>
      </c>
    </row>
    <row r="37" spans="1:34" ht="16">
      <c r="A37" s="254">
        <f t="shared" si="16"/>
        <v>8157.0001664724487</v>
      </c>
      <c r="B37" s="254">
        <f t="shared" si="16"/>
        <v>54291.043782254041</v>
      </c>
      <c r="C37" s="254">
        <f t="shared" si="16"/>
        <v>7251.9560512735143</v>
      </c>
      <c r="D37" s="255">
        <f t="shared" ref="D37:D49" si="19">SUM(A37:C37)</f>
        <v>69700</v>
      </c>
      <c r="E37" s="257">
        <v>68</v>
      </c>
      <c r="H37" s="698" t="s">
        <v>990</v>
      </c>
      <c r="I37" s="698">
        <v>2</v>
      </c>
      <c r="J37" s="698" t="s">
        <v>924</v>
      </c>
      <c r="K37" s="698"/>
      <c r="L37" s="699">
        <v>3</v>
      </c>
      <c r="M37" s="700">
        <v>1025</v>
      </c>
      <c r="O37" s="664">
        <f t="shared" ref="O37:O55" si="20">P37*M37</f>
        <v>10250</v>
      </c>
      <c r="P37" s="699">
        <v>10</v>
      </c>
      <c r="R37" s="664">
        <f t="shared" ref="R37:R55" si="21">S37*M37</f>
        <v>0</v>
      </c>
      <c r="S37" s="699"/>
      <c r="U37" s="664">
        <f t="shared" ref="U37:U55" si="22">V37*M37</f>
        <v>0</v>
      </c>
      <c r="X37" s="664">
        <f t="shared" ref="X37:X55" si="23">Y37*M37</f>
        <v>0</v>
      </c>
      <c r="AA37" s="671">
        <f t="shared" ref="AA37:AA55" si="24">O37+R37+U37+X37</f>
        <v>10250</v>
      </c>
      <c r="AB37" s="671">
        <f t="shared" ref="AB37:AB55" si="25">P37+S37+V37+Y37</f>
        <v>10</v>
      </c>
      <c r="AE37" s="651">
        <f t="shared" si="17"/>
        <v>35</v>
      </c>
      <c r="AF37" s="651">
        <f t="shared" si="18"/>
        <v>48</v>
      </c>
      <c r="AG37" s="727">
        <f t="shared" ref="AG37:AG55" si="26">SQRT(AF37)</f>
        <v>6.9282032302755088</v>
      </c>
      <c r="AH37" s="727">
        <f t="shared" ref="AH37:AH55" si="27">(AG37+2+2)*(AG37+2+2)</f>
        <v>119.42562584220407</v>
      </c>
    </row>
    <row r="38" spans="1:34" ht="16">
      <c r="A38" s="254">
        <f t="shared" si="16"/>
        <v>6247.0684201764607</v>
      </c>
      <c r="B38" s="254">
        <f t="shared" si="16"/>
        <v>41578.994506409188</v>
      </c>
      <c r="C38" s="254">
        <f t="shared" si="16"/>
        <v>5553.9370734143495</v>
      </c>
      <c r="D38" s="255">
        <f t="shared" si="19"/>
        <v>53380</v>
      </c>
      <c r="E38" s="257">
        <v>68</v>
      </c>
      <c r="H38" s="698" t="s">
        <v>991</v>
      </c>
      <c r="I38" s="698">
        <v>2</v>
      </c>
      <c r="J38" s="698" t="s">
        <v>924</v>
      </c>
      <c r="K38" s="698"/>
      <c r="L38" s="699">
        <v>2</v>
      </c>
      <c r="M38" s="700">
        <v>785</v>
      </c>
      <c r="O38" s="664">
        <f t="shared" si="20"/>
        <v>6280</v>
      </c>
      <c r="P38" s="699">
        <v>8</v>
      </c>
      <c r="R38" s="664">
        <f t="shared" si="21"/>
        <v>0</v>
      </c>
      <c r="S38" s="699"/>
      <c r="U38" s="664">
        <f t="shared" si="22"/>
        <v>0</v>
      </c>
      <c r="X38" s="664">
        <f t="shared" si="23"/>
        <v>0</v>
      </c>
      <c r="AA38" s="671">
        <f t="shared" si="24"/>
        <v>6280</v>
      </c>
      <c r="AB38" s="671">
        <f t="shared" si="25"/>
        <v>8</v>
      </c>
      <c r="AE38" s="651">
        <f t="shared" si="17"/>
        <v>31</v>
      </c>
      <c r="AF38" s="651">
        <f t="shared" si="18"/>
        <v>37</v>
      </c>
      <c r="AG38" s="727">
        <f t="shared" si="26"/>
        <v>6.0827625302982193</v>
      </c>
      <c r="AH38" s="727">
        <f t="shared" si="27"/>
        <v>101.66210024238573</v>
      </c>
    </row>
    <row r="39" spans="1:34" ht="16">
      <c r="A39" s="254">
        <f t="shared" si="16"/>
        <v>6247.0684201764607</v>
      </c>
      <c r="B39" s="254">
        <f t="shared" si="16"/>
        <v>41578.994506409188</v>
      </c>
      <c r="C39" s="254">
        <f t="shared" si="16"/>
        <v>5553.9370734143495</v>
      </c>
      <c r="D39" s="255">
        <f t="shared" si="19"/>
        <v>53380</v>
      </c>
      <c r="E39" s="257">
        <v>68</v>
      </c>
      <c r="H39" s="698" t="s">
        <v>992</v>
      </c>
      <c r="I39" s="698">
        <v>2</v>
      </c>
      <c r="J39" s="698" t="s">
        <v>924</v>
      </c>
      <c r="K39" s="698"/>
      <c r="L39" s="699">
        <v>2</v>
      </c>
      <c r="M39" s="700">
        <v>785</v>
      </c>
      <c r="O39" s="664">
        <f t="shared" si="20"/>
        <v>1570</v>
      </c>
      <c r="P39" s="699">
        <v>2</v>
      </c>
      <c r="R39" s="664">
        <f t="shared" si="21"/>
        <v>0</v>
      </c>
      <c r="S39" s="699"/>
      <c r="U39" s="664">
        <f t="shared" si="22"/>
        <v>0</v>
      </c>
      <c r="X39" s="664">
        <f t="shared" si="23"/>
        <v>0</v>
      </c>
      <c r="AA39" s="671">
        <f t="shared" si="24"/>
        <v>1570</v>
      </c>
      <c r="AB39" s="671">
        <f t="shared" si="25"/>
        <v>2</v>
      </c>
      <c r="AE39" s="651">
        <f t="shared" si="17"/>
        <v>31</v>
      </c>
      <c r="AF39" s="651">
        <f t="shared" si="18"/>
        <v>37</v>
      </c>
      <c r="AG39" s="727">
        <f t="shared" si="26"/>
        <v>6.0827625302982193</v>
      </c>
      <c r="AH39" s="727">
        <f t="shared" si="27"/>
        <v>101.66210024238573</v>
      </c>
    </row>
    <row r="40" spans="1:34" ht="16">
      <c r="A40" s="254">
        <f t="shared" si="16"/>
        <v>7576.0625936407523</v>
      </c>
      <c r="B40" s="254">
        <f t="shared" si="16"/>
        <v>50424.462127517894</v>
      </c>
      <c r="C40" s="254">
        <f t="shared" si="16"/>
        <v>6735.4752788413516</v>
      </c>
      <c r="D40" s="255">
        <f t="shared" si="19"/>
        <v>64736</v>
      </c>
      <c r="E40" s="257">
        <v>68</v>
      </c>
      <c r="H40" s="698" t="s">
        <v>993</v>
      </c>
      <c r="I40" s="698">
        <v>2</v>
      </c>
      <c r="J40" s="698" t="s">
        <v>924</v>
      </c>
      <c r="K40" s="698"/>
      <c r="L40" s="699">
        <v>3</v>
      </c>
      <c r="M40" s="700">
        <v>952</v>
      </c>
      <c r="O40" s="664">
        <f t="shared" si="20"/>
        <v>7616</v>
      </c>
      <c r="P40" s="699">
        <v>8</v>
      </c>
      <c r="R40" s="664">
        <f t="shared" si="21"/>
        <v>0</v>
      </c>
      <c r="S40" s="699"/>
      <c r="U40" s="664">
        <f t="shared" si="22"/>
        <v>0</v>
      </c>
      <c r="X40" s="664">
        <f t="shared" si="23"/>
        <v>0</v>
      </c>
      <c r="AA40" s="671">
        <f t="shared" si="24"/>
        <v>7616</v>
      </c>
      <c r="AB40" s="671">
        <f t="shared" si="25"/>
        <v>8</v>
      </c>
      <c r="AE40" s="651">
        <f t="shared" si="17"/>
        <v>34</v>
      </c>
      <c r="AF40" s="651">
        <f t="shared" si="18"/>
        <v>45</v>
      </c>
      <c r="AG40" s="727">
        <f t="shared" si="26"/>
        <v>6.7082039324993694</v>
      </c>
      <c r="AH40" s="727">
        <f t="shared" si="27"/>
        <v>114.66563145999496</v>
      </c>
    </row>
    <row r="41" spans="1:34" ht="16">
      <c r="A41" s="254">
        <f t="shared" si="16"/>
        <v>8114.875875437574</v>
      </c>
      <c r="B41" s="254">
        <f t="shared" si="16"/>
        <v>54010.674567812814</v>
      </c>
      <c r="C41" s="254">
        <f t="shared" si="16"/>
        <v>7214.5055791585828</v>
      </c>
      <c r="D41" s="255">
        <f t="shared" si="19"/>
        <v>69340.056022408971</v>
      </c>
      <c r="E41" s="257">
        <v>71.484593837535016</v>
      </c>
      <c r="H41" s="698" t="s">
        <v>994</v>
      </c>
      <c r="I41" s="698">
        <v>2</v>
      </c>
      <c r="J41" s="698" t="s">
        <v>924</v>
      </c>
      <c r="K41" s="698"/>
      <c r="L41" s="699">
        <v>3</v>
      </c>
      <c r="M41" s="700">
        <v>970</v>
      </c>
      <c r="O41" s="664">
        <f t="shared" si="20"/>
        <v>34920</v>
      </c>
      <c r="P41" s="699">
        <v>36</v>
      </c>
      <c r="R41" s="664">
        <f t="shared" si="21"/>
        <v>0</v>
      </c>
      <c r="S41" s="699"/>
      <c r="U41" s="664">
        <f t="shared" si="22"/>
        <v>0</v>
      </c>
      <c r="X41" s="664">
        <f t="shared" si="23"/>
        <v>0</v>
      </c>
      <c r="AA41" s="671">
        <f t="shared" si="24"/>
        <v>34920</v>
      </c>
      <c r="AB41" s="671">
        <f t="shared" si="25"/>
        <v>36</v>
      </c>
      <c r="AE41" s="651">
        <f t="shared" si="17"/>
        <v>34</v>
      </c>
      <c r="AF41" s="651">
        <f t="shared" si="18"/>
        <v>46</v>
      </c>
      <c r="AG41" s="727">
        <f t="shared" si="26"/>
        <v>6.7823299831252681</v>
      </c>
      <c r="AH41" s="727">
        <f t="shared" si="27"/>
        <v>116.25863986500217</v>
      </c>
    </row>
    <row r="42" spans="1:34" ht="16">
      <c r="A42" s="254">
        <f t="shared" si="16"/>
        <v>7719.3074746129514</v>
      </c>
      <c r="B42" s="254">
        <f t="shared" si="16"/>
        <v>51377.865823206259</v>
      </c>
      <c r="C42" s="254">
        <f t="shared" si="16"/>
        <v>6862.8267021807887</v>
      </c>
      <c r="D42" s="255">
        <f t="shared" si="19"/>
        <v>65960</v>
      </c>
      <c r="E42" s="257">
        <v>68</v>
      </c>
      <c r="H42" s="698" t="s">
        <v>995</v>
      </c>
      <c r="I42" s="698">
        <v>2</v>
      </c>
      <c r="J42" s="698" t="s">
        <v>924</v>
      </c>
      <c r="K42" s="698"/>
      <c r="L42" s="699">
        <v>3</v>
      </c>
      <c r="M42" s="700">
        <v>970</v>
      </c>
      <c r="O42" s="664">
        <f t="shared" si="20"/>
        <v>1940</v>
      </c>
      <c r="P42" s="699">
        <v>2</v>
      </c>
      <c r="R42" s="664">
        <f t="shared" si="21"/>
        <v>0</v>
      </c>
      <c r="S42" s="699"/>
      <c r="U42" s="664">
        <f t="shared" si="22"/>
        <v>0</v>
      </c>
      <c r="X42" s="664">
        <f t="shared" si="23"/>
        <v>0</v>
      </c>
      <c r="AA42" s="671">
        <f t="shared" si="24"/>
        <v>1940</v>
      </c>
      <c r="AB42" s="671">
        <f t="shared" si="25"/>
        <v>2</v>
      </c>
      <c r="AE42" s="651">
        <f t="shared" si="17"/>
        <v>34</v>
      </c>
      <c r="AF42" s="651">
        <f t="shared" si="18"/>
        <v>46</v>
      </c>
      <c r="AG42" s="727">
        <f t="shared" si="26"/>
        <v>6.7823299831252681</v>
      </c>
      <c r="AH42" s="727">
        <f t="shared" si="27"/>
        <v>116.25863986500217</v>
      </c>
    </row>
    <row r="43" spans="1:34" ht="16">
      <c r="A43" s="254">
        <f t="shared" si="16"/>
        <v>8020.6902775791987</v>
      </c>
      <c r="B43" s="254">
        <f t="shared" si="16"/>
        <v>53383.797736547756</v>
      </c>
      <c r="C43" s="254">
        <f t="shared" si="16"/>
        <v>7130.7701614324315</v>
      </c>
      <c r="D43" s="255">
        <f t="shared" si="19"/>
        <v>68535.258175559386</v>
      </c>
      <c r="E43" s="257">
        <v>70.654905335628229</v>
      </c>
      <c r="H43" s="698" t="s">
        <v>996</v>
      </c>
      <c r="I43" s="698">
        <v>2</v>
      </c>
      <c r="J43" s="698" t="s">
        <v>924</v>
      </c>
      <c r="K43" s="698"/>
      <c r="L43" s="699">
        <v>3</v>
      </c>
      <c r="M43" s="700">
        <v>970</v>
      </c>
      <c r="O43" s="664">
        <f t="shared" si="20"/>
        <v>19400</v>
      </c>
      <c r="P43" s="699">
        <v>20</v>
      </c>
      <c r="R43" s="664">
        <f t="shared" si="21"/>
        <v>0</v>
      </c>
      <c r="S43" s="699"/>
      <c r="U43" s="664">
        <f t="shared" si="22"/>
        <v>0</v>
      </c>
      <c r="X43" s="664">
        <f t="shared" si="23"/>
        <v>0</v>
      </c>
      <c r="AA43" s="671">
        <f t="shared" si="24"/>
        <v>19400</v>
      </c>
      <c r="AB43" s="671">
        <f t="shared" si="25"/>
        <v>20</v>
      </c>
      <c r="AE43" s="651">
        <f t="shared" si="17"/>
        <v>34</v>
      </c>
      <c r="AF43" s="651">
        <f t="shared" si="18"/>
        <v>46</v>
      </c>
      <c r="AG43" s="727">
        <f t="shared" si="26"/>
        <v>6.7823299831252681</v>
      </c>
      <c r="AH43" s="727">
        <f t="shared" si="27"/>
        <v>116.25863986500217</v>
      </c>
    </row>
    <row r="44" spans="1:34" ht="16">
      <c r="A44" s="254">
        <f t="shared" si="16"/>
        <v>7891.016512690634</v>
      </c>
      <c r="B44" s="254">
        <f t="shared" si="16"/>
        <v>52520.72014634349</v>
      </c>
      <c r="C44" s="254">
        <f t="shared" si="16"/>
        <v>7015.4840973423125</v>
      </c>
      <c r="D44" s="255">
        <f t="shared" si="19"/>
        <v>67427.220756376439</v>
      </c>
      <c r="E44" s="257">
        <v>67.766051011433603</v>
      </c>
      <c r="H44" s="698" t="s">
        <v>997</v>
      </c>
      <c r="I44" s="698">
        <v>2</v>
      </c>
      <c r="J44" s="698" t="s">
        <v>924</v>
      </c>
      <c r="K44" s="698"/>
      <c r="L44" s="699">
        <v>3</v>
      </c>
      <c r="M44" s="700">
        <v>995</v>
      </c>
      <c r="O44" s="664">
        <f t="shared" si="20"/>
        <v>5970</v>
      </c>
      <c r="P44" s="699">
        <v>6</v>
      </c>
      <c r="R44" s="664">
        <f t="shared" si="21"/>
        <v>0</v>
      </c>
      <c r="S44" s="699"/>
      <c r="U44" s="664">
        <f t="shared" si="22"/>
        <v>0</v>
      </c>
      <c r="X44" s="664">
        <f t="shared" si="23"/>
        <v>0</v>
      </c>
      <c r="AA44" s="671">
        <f t="shared" si="24"/>
        <v>5970</v>
      </c>
      <c r="AB44" s="671">
        <f t="shared" si="25"/>
        <v>6</v>
      </c>
      <c r="AE44" s="651">
        <f t="shared" si="17"/>
        <v>34</v>
      </c>
      <c r="AF44" s="651">
        <f t="shared" si="18"/>
        <v>47</v>
      </c>
      <c r="AG44" s="727">
        <f t="shared" si="26"/>
        <v>6.8556546004010439</v>
      </c>
      <c r="AH44" s="727">
        <f t="shared" si="27"/>
        <v>117.84523680320835</v>
      </c>
    </row>
    <row r="45" spans="1:34" ht="16">
      <c r="A45" s="254">
        <f t="shared" si="16"/>
        <v>7918.2586981854502</v>
      </c>
      <c r="B45" s="254">
        <f t="shared" si="16"/>
        <v>52702.03762277343</v>
      </c>
      <c r="C45" s="254">
        <f t="shared" si="16"/>
        <v>7039.7036790411184</v>
      </c>
      <c r="D45" s="255">
        <f t="shared" si="19"/>
        <v>67660</v>
      </c>
      <c r="E45" s="257">
        <v>68</v>
      </c>
      <c r="H45" s="698" t="s">
        <v>998</v>
      </c>
      <c r="I45" s="698">
        <v>2</v>
      </c>
      <c r="J45" s="698" t="s">
        <v>924</v>
      </c>
      <c r="K45" s="698"/>
      <c r="L45" s="699">
        <v>3</v>
      </c>
      <c r="M45" s="700">
        <v>995</v>
      </c>
      <c r="O45" s="664">
        <f t="shared" si="20"/>
        <v>995</v>
      </c>
      <c r="P45" s="699">
        <v>1</v>
      </c>
      <c r="R45" s="664">
        <f t="shared" si="21"/>
        <v>0</v>
      </c>
      <c r="S45" s="699"/>
      <c r="U45" s="664">
        <f t="shared" si="22"/>
        <v>0</v>
      </c>
      <c r="X45" s="664">
        <f t="shared" si="23"/>
        <v>0</v>
      </c>
      <c r="AA45" s="671">
        <f t="shared" si="24"/>
        <v>995</v>
      </c>
      <c r="AB45" s="671">
        <f t="shared" si="25"/>
        <v>1</v>
      </c>
      <c r="AE45" s="651">
        <f t="shared" si="17"/>
        <v>34</v>
      </c>
      <c r="AF45" s="651">
        <f t="shared" si="18"/>
        <v>47</v>
      </c>
      <c r="AG45" s="727">
        <f t="shared" si="26"/>
        <v>6.8556546004010439</v>
      </c>
      <c r="AH45" s="727">
        <f t="shared" si="27"/>
        <v>117.84523680320835</v>
      </c>
    </row>
    <row r="46" spans="1:34" ht="16">
      <c r="A46" s="254">
        <f t="shared" si="16"/>
        <v>8226.0275742886733</v>
      </c>
      <c r="B46" s="254">
        <f t="shared" si="16"/>
        <v>54750.473712797582</v>
      </c>
      <c r="C46" s="254">
        <f t="shared" si="16"/>
        <v>7313.324657084524</v>
      </c>
      <c r="D46" s="255">
        <f t="shared" si="19"/>
        <v>70289.825944170778</v>
      </c>
      <c r="E46" s="257">
        <v>67.198686371100166</v>
      </c>
      <c r="H46" s="698" t="s">
        <v>999</v>
      </c>
      <c r="I46" s="698">
        <v>2</v>
      </c>
      <c r="J46" s="698" t="s">
        <v>924</v>
      </c>
      <c r="K46" s="698"/>
      <c r="L46" s="699">
        <v>3</v>
      </c>
      <c r="M46" s="700">
        <v>1046</v>
      </c>
      <c r="O46" s="664">
        <f t="shared" si="20"/>
        <v>7322</v>
      </c>
      <c r="P46" s="699">
        <v>7</v>
      </c>
      <c r="R46" s="664">
        <f t="shared" si="21"/>
        <v>0</v>
      </c>
      <c r="S46" s="699"/>
      <c r="U46" s="664">
        <f t="shared" si="22"/>
        <v>0</v>
      </c>
      <c r="X46" s="664">
        <f t="shared" si="23"/>
        <v>0</v>
      </c>
      <c r="AA46" s="671">
        <f t="shared" si="24"/>
        <v>7322</v>
      </c>
      <c r="AB46" s="671">
        <f t="shared" si="25"/>
        <v>7</v>
      </c>
      <c r="AE46" s="651">
        <f>ROUNDUP(((SQRT((M46/10.764)/2))*6),0)</f>
        <v>42</v>
      </c>
      <c r="AF46" s="651">
        <f t="shared" si="18"/>
        <v>49</v>
      </c>
      <c r="AG46" s="727">
        <f t="shared" si="26"/>
        <v>7</v>
      </c>
      <c r="AH46" s="727">
        <f t="shared" si="27"/>
        <v>121</v>
      </c>
    </row>
    <row r="47" spans="1:34" ht="16">
      <c r="A47" s="254">
        <f t="shared" si="16"/>
        <v>8546.9445646745462</v>
      </c>
      <c r="B47" s="254">
        <f t="shared" si="16"/>
        <v>56886.420509405696</v>
      </c>
      <c r="C47" s="254">
        <f t="shared" si="16"/>
        <v>7598.6349259197596</v>
      </c>
      <c r="D47" s="255">
        <f t="shared" si="19"/>
        <v>73032</v>
      </c>
      <c r="E47" s="257">
        <v>68</v>
      </c>
      <c r="H47" s="698" t="s">
        <v>1000</v>
      </c>
      <c r="I47" s="698">
        <v>2</v>
      </c>
      <c r="J47" s="698" t="s">
        <v>924</v>
      </c>
      <c r="K47" s="698"/>
      <c r="L47" s="699">
        <v>4</v>
      </c>
      <c r="M47" s="700">
        <v>1074</v>
      </c>
      <c r="O47" s="664">
        <f t="shared" si="20"/>
        <v>23628</v>
      </c>
      <c r="P47" s="699">
        <v>22</v>
      </c>
      <c r="R47" s="664">
        <f t="shared" si="21"/>
        <v>0</v>
      </c>
      <c r="S47" s="699"/>
      <c r="U47" s="664">
        <f t="shared" si="22"/>
        <v>0</v>
      </c>
      <c r="X47" s="664">
        <f t="shared" si="23"/>
        <v>0</v>
      </c>
      <c r="AA47" s="671">
        <f t="shared" si="24"/>
        <v>23628</v>
      </c>
      <c r="AB47" s="671">
        <f t="shared" si="25"/>
        <v>22</v>
      </c>
      <c r="AE47" s="651">
        <f t="shared" ref="AE47:AE55" si="28">ROUNDUP(((SQRT((M47/10.764)/2))*6),0)</f>
        <v>43</v>
      </c>
      <c r="AF47" s="651">
        <f t="shared" si="18"/>
        <v>50</v>
      </c>
      <c r="AG47" s="727">
        <f t="shared" si="26"/>
        <v>7.0710678118654755</v>
      </c>
      <c r="AH47" s="727">
        <f t="shared" si="27"/>
        <v>122.5685424949238</v>
      </c>
    </row>
    <row r="48" spans="1:34" ht="16">
      <c r="A48" s="254">
        <f t="shared" si="16"/>
        <v>8928.9309139337438</v>
      </c>
      <c r="B48" s="254">
        <f t="shared" si="16"/>
        <v>59428.830364574664</v>
      </c>
      <c r="C48" s="254">
        <f t="shared" si="16"/>
        <v>7938.2387214915925</v>
      </c>
      <c r="D48" s="255">
        <f t="shared" si="19"/>
        <v>76296</v>
      </c>
      <c r="E48" s="257">
        <v>68</v>
      </c>
      <c r="H48" s="698" t="s">
        <v>1001</v>
      </c>
      <c r="I48" s="698">
        <v>2.5</v>
      </c>
      <c r="J48" s="698"/>
      <c r="K48" s="698" t="s">
        <v>920</v>
      </c>
      <c r="L48" s="699">
        <v>4</v>
      </c>
      <c r="M48" s="700">
        <v>1122</v>
      </c>
      <c r="O48" s="664">
        <f t="shared" si="20"/>
        <v>15708</v>
      </c>
      <c r="P48" s="699">
        <v>14</v>
      </c>
      <c r="R48" s="664">
        <f t="shared" si="21"/>
        <v>0</v>
      </c>
      <c r="S48" s="699"/>
      <c r="U48" s="664">
        <f t="shared" si="22"/>
        <v>0</v>
      </c>
      <c r="X48" s="664">
        <f t="shared" si="23"/>
        <v>0</v>
      </c>
      <c r="AA48" s="671">
        <f t="shared" si="24"/>
        <v>15708</v>
      </c>
      <c r="AB48" s="671">
        <f t="shared" si="25"/>
        <v>14</v>
      </c>
      <c r="AE48" s="651">
        <f t="shared" si="28"/>
        <v>44</v>
      </c>
      <c r="AF48" s="651">
        <f t="shared" si="18"/>
        <v>53</v>
      </c>
      <c r="AG48" s="727">
        <f t="shared" si="26"/>
        <v>7.2801098892805181</v>
      </c>
      <c r="AH48" s="727">
        <f t="shared" si="27"/>
        <v>127.24087911424412</v>
      </c>
    </row>
    <row r="49" spans="1:47" ht="16">
      <c r="A49" s="254">
        <f t="shared" si="16"/>
        <v>10154.470451140336</v>
      </c>
      <c r="B49" s="254">
        <f t="shared" si="16"/>
        <v>67585.728649908444</v>
      </c>
      <c r="C49" s="254">
        <f t="shared" si="16"/>
        <v>9027.8008989512236</v>
      </c>
      <c r="D49" s="255">
        <f t="shared" si="19"/>
        <v>86768</v>
      </c>
      <c r="E49" s="257">
        <v>68</v>
      </c>
      <c r="H49" s="698" t="s">
        <v>1002</v>
      </c>
      <c r="I49" s="698">
        <v>2</v>
      </c>
      <c r="J49" s="698" t="s">
        <v>924</v>
      </c>
      <c r="K49" s="698"/>
      <c r="L49" s="699">
        <v>4</v>
      </c>
      <c r="M49" s="700">
        <v>1276</v>
      </c>
      <c r="O49" s="664">
        <f t="shared" si="20"/>
        <v>11484</v>
      </c>
      <c r="P49" s="699">
        <v>9</v>
      </c>
      <c r="R49" s="664">
        <f t="shared" si="21"/>
        <v>0</v>
      </c>
      <c r="S49" s="699"/>
      <c r="U49" s="664">
        <f t="shared" si="22"/>
        <v>0</v>
      </c>
      <c r="X49" s="664">
        <f t="shared" si="23"/>
        <v>0</v>
      </c>
      <c r="AA49" s="671">
        <f t="shared" si="24"/>
        <v>11484</v>
      </c>
      <c r="AB49" s="671">
        <f t="shared" si="25"/>
        <v>9</v>
      </c>
      <c r="AE49" s="651">
        <f t="shared" si="28"/>
        <v>47</v>
      </c>
      <c r="AF49" s="651">
        <f t="shared" si="18"/>
        <v>60</v>
      </c>
      <c r="AG49" s="727">
        <f t="shared" si="26"/>
        <v>7.745966692414834</v>
      </c>
      <c r="AH49" s="727">
        <f t="shared" si="27"/>
        <v>137.96773353931869</v>
      </c>
    </row>
    <row r="50" spans="1:47" ht="16">
      <c r="A50" s="254">
        <f t="shared" si="16"/>
        <v>9748.6099550524395</v>
      </c>
      <c r="B50" s="254">
        <f t="shared" si="16"/>
        <v>64884.418178791413</v>
      </c>
      <c r="C50" s="254">
        <f t="shared" si="16"/>
        <v>8666.971866156151</v>
      </c>
      <c r="D50" s="255">
        <f>SUM(A50:C50)</f>
        <v>83300</v>
      </c>
      <c r="E50" s="257">
        <v>68</v>
      </c>
      <c r="H50" s="698" t="s">
        <v>1003</v>
      </c>
      <c r="I50" s="698">
        <v>2</v>
      </c>
      <c r="J50" s="698"/>
      <c r="K50" s="698" t="s">
        <v>920</v>
      </c>
      <c r="L50" s="699">
        <v>4</v>
      </c>
      <c r="M50" s="700">
        <v>1225</v>
      </c>
      <c r="O50" s="664">
        <f t="shared" si="20"/>
        <v>14700</v>
      </c>
      <c r="P50" s="699">
        <v>12</v>
      </c>
      <c r="R50" s="664">
        <f t="shared" si="21"/>
        <v>0</v>
      </c>
      <c r="S50" s="699"/>
      <c r="U50" s="664">
        <f t="shared" si="22"/>
        <v>0</v>
      </c>
      <c r="X50" s="664">
        <f t="shared" si="23"/>
        <v>0</v>
      </c>
      <c r="AA50" s="671">
        <f t="shared" si="24"/>
        <v>14700</v>
      </c>
      <c r="AB50" s="671">
        <f t="shared" si="25"/>
        <v>12</v>
      </c>
      <c r="AE50" s="651">
        <f t="shared" si="28"/>
        <v>46</v>
      </c>
      <c r="AF50" s="651">
        <f t="shared" si="18"/>
        <v>57</v>
      </c>
      <c r="AG50" s="727">
        <f t="shared" si="26"/>
        <v>7.5498344352707498</v>
      </c>
      <c r="AH50" s="727">
        <f t="shared" si="27"/>
        <v>133.398675482166</v>
      </c>
    </row>
    <row r="51" spans="1:47" ht="16">
      <c r="A51" s="254"/>
      <c r="B51" s="254"/>
      <c r="C51" s="254"/>
      <c r="D51" s="255"/>
      <c r="E51" s="257"/>
      <c r="H51" s="698" t="s">
        <v>1003</v>
      </c>
      <c r="I51" s="698">
        <v>2</v>
      </c>
      <c r="J51" s="698"/>
      <c r="K51" s="698" t="s">
        <v>922</v>
      </c>
      <c r="L51" s="699">
        <v>4</v>
      </c>
      <c r="M51" s="700">
        <v>1225</v>
      </c>
      <c r="O51" s="664">
        <f t="shared" si="20"/>
        <v>1225</v>
      </c>
      <c r="P51" s="699">
        <v>1</v>
      </c>
      <c r="R51" s="664">
        <f t="shared" si="21"/>
        <v>0</v>
      </c>
      <c r="S51" s="699"/>
      <c r="U51" s="664">
        <f t="shared" si="22"/>
        <v>0</v>
      </c>
      <c r="X51" s="664">
        <f t="shared" si="23"/>
        <v>0</v>
      </c>
      <c r="AA51" s="671">
        <f t="shared" si="24"/>
        <v>1225</v>
      </c>
      <c r="AB51" s="671">
        <f t="shared" si="25"/>
        <v>1</v>
      </c>
      <c r="AE51" s="651">
        <f t="shared" si="28"/>
        <v>46</v>
      </c>
      <c r="AF51" s="651">
        <f t="shared" si="18"/>
        <v>57</v>
      </c>
      <c r="AG51" s="727">
        <f t="shared" si="26"/>
        <v>7.5498344352707498</v>
      </c>
      <c r="AH51" s="727">
        <f t="shared" si="27"/>
        <v>133.398675482166</v>
      </c>
    </row>
    <row r="52" spans="1:47" ht="16">
      <c r="A52" s="254"/>
      <c r="B52" s="254"/>
      <c r="C52" s="254"/>
      <c r="D52" s="255"/>
      <c r="E52" s="257"/>
      <c r="H52" s="698" t="s">
        <v>1004</v>
      </c>
      <c r="I52" s="698">
        <v>2</v>
      </c>
      <c r="J52" s="698"/>
      <c r="K52" s="698" t="s">
        <v>920</v>
      </c>
      <c r="L52" s="699">
        <v>5</v>
      </c>
      <c r="M52" s="700">
        <v>1551</v>
      </c>
      <c r="O52" s="664">
        <f t="shared" si="20"/>
        <v>13959</v>
      </c>
      <c r="P52" s="699">
        <v>9</v>
      </c>
      <c r="R52" s="664">
        <f t="shared" si="21"/>
        <v>0</v>
      </c>
      <c r="S52" s="699"/>
      <c r="U52" s="664">
        <f t="shared" si="22"/>
        <v>0</v>
      </c>
      <c r="X52" s="664">
        <f t="shared" si="23"/>
        <v>0</v>
      </c>
      <c r="AA52" s="671">
        <f t="shared" si="24"/>
        <v>13959</v>
      </c>
      <c r="AB52" s="671">
        <f t="shared" si="25"/>
        <v>9</v>
      </c>
      <c r="AE52" s="651">
        <f t="shared" si="28"/>
        <v>51</v>
      </c>
      <c r="AF52" s="651">
        <f t="shared" si="18"/>
        <v>73</v>
      </c>
      <c r="AG52" s="727">
        <f t="shared" si="26"/>
        <v>8.5440037453175304</v>
      </c>
      <c r="AH52" s="727">
        <f t="shared" si="27"/>
        <v>157.35202996254023</v>
      </c>
    </row>
    <row r="53" spans="1:47" ht="16">
      <c r="A53" s="254"/>
      <c r="B53" s="254"/>
      <c r="C53" s="254"/>
      <c r="D53" s="255"/>
      <c r="E53" s="257"/>
      <c r="H53" s="698"/>
      <c r="I53" s="698"/>
      <c r="J53" s="698"/>
      <c r="K53" s="698"/>
      <c r="L53" s="699"/>
      <c r="M53" s="700"/>
      <c r="O53" s="664">
        <f t="shared" si="20"/>
        <v>0</v>
      </c>
      <c r="P53" s="699"/>
      <c r="R53" s="664">
        <f t="shared" si="21"/>
        <v>0</v>
      </c>
      <c r="S53" s="699"/>
      <c r="U53" s="664">
        <f t="shared" si="22"/>
        <v>0</v>
      </c>
      <c r="X53" s="664">
        <f t="shared" si="23"/>
        <v>0</v>
      </c>
      <c r="AA53" s="671">
        <f t="shared" si="24"/>
        <v>0</v>
      </c>
      <c r="AB53" s="671">
        <f t="shared" si="25"/>
        <v>0</v>
      </c>
      <c r="AE53" s="651">
        <f t="shared" si="28"/>
        <v>0</v>
      </c>
      <c r="AF53" s="651">
        <f t="shared" si="18"/>
        <v>0</v>
      </c>
      <c r="AG53" s="727">
        <f t="shared" si="26"/>
        <v>0</v>
      </c>
      <c r="AH53" s="727">
        <f t="shared" si="27"/>
        <v>16</v>
      </c>
    </row>
    <row r="54" spans="1:47" ht="16">
      <c r="A54" s="254"/>
      <c r="B54" s="254"/>
      <c r="C54" s="254"/>
      <c r="D54" s="255"/>
      <c r="E54" s="257"/>
      <c r="H54" s="698"/>
      <c r="I54" s="698"/>
      <c r="J54" s="698"/>
      <c r="K54" s="698"/>
      <c r="L54" s="699"/>
      <c r="M54" s="700"/>
      <c r="O54" s="664">
        <f t="shared" si="20"/>
        <v>0</v>
      </c>
      <c r="P54" s="699"/>
      <c r="R54" s="664">
        <f t="shared" si="21"/>
        <v>0</v>
      </c>
      <c r="S54" s="699"/>
      <c r="U54" s="664">
        <f t="shared" si="22"/>
        <v>0</v>
      </c>
      <c r="X54" s="664">
        <f t="shared" si="23"/>
        <v>0</v>
      </c>
      <c r="AA54" s="671">
        <f t="shared" si="24"/>
        <v>0</v>
      </c>
      <c r="AB54" s="671">
        <f t="shared" si="25"/>
        <v>0</v>
      </c>
      <c r="AE54" s="651">
        <f t="shared" si="28"/>
        <v>0</v>
      </c>
      <c r="AF54" s="651">
        <f t="shared" si="18"/>
        <v>0</v>
      </c>
      <c r="AG54" s="727">
        <f t="shared" si="26"/>
        <v>0</v>
      </c>
      <c r="AH54" s="727">
        <f t="shared" si="27"/>
        <v>16</v>
      </c>
    </row>
    <row r="55" spans="1:47" ht="16">
      <c r="A55" s="254"/>
      <c r="B55" s="254"/>
      <c r="C55" s="254"/>
      <c r="D55" s="255"/>
      <c r="E55" s="257"/>
      <c r="H55" s="698"/>
      <c r="I55" s="698"/>
      <c r="J55" s="698"/>
      <c r="K55" s="698"/>
      <c r="L55" s="699"/>
      <c r="M55" s="700"/>
      <c r="O55" s="664">
        <f t="shared" si="20"/>
        <v>0</v>
      </c>
      <c r="P55" s="699"/>
      <c r="R55" s="664">
        <f t="shared" si="21"/>
        <v>0</v>
      </c>
      <c r="S55" s="699"/>
      <c r="U55" s="664">
        <f t="shared" si="22"/>
        <v>0</v>
      </c>
      <c r="X55" s="664">
        <f t="shared" si="23"/>
        <v>0</v>
      </c>
      <c r="AA55" s="671">
        <f t="shared" si="24"/>
        <v>0</v>
      </c>
      <c r="AB55" s="671">
        <f t="shared" si="25"/>
        <v>0</v>
      </c>
      <c r="AE55" s="651">
        <f t="shared" si="28"/>
        <v>0</v>
      </c>
      <c r="AF55" s="651">
        <f t="shared" si="18"/>
        <v>0</v>
      </c>
      <c r="AG55" s="727">
        <f t="shared" si="26"/>
        <v>0</v>
      </c>
      <c r="AH55" s="727">
        <f t="shared" si="27"/>
        <v>16</v>
      </c>
    </row>
    <row r="56" spans="1:47" ht="16">
      <c r="A56" s="254"/>
      <c r="B56" s="254"/>
      <c r="C56" s="254"/>
      <c r="D56" s="255"/>
      <c r="E56" s="257"/>
      <c r="H56" s="698"/>
      <c r="I56" s="698"/>
      <c r="J56" s="698"/>
      <c r="K56" s="698"/>
      <c r="L56" s="699"/>
      <c r="M56" s="700"/>
      <c r="P56" s="699"/>
      <c r="S56" s="699"/>
      <c r="AA56" s="671"/>
      <c r="AB56" s="671"/>
      <c r="AE56" s="651"/>
      <c r="AF56" s="651"/>
      <c r="AG56" s="727"/>
      <c r="AH56" s="727"/>
    </row>
    <row r="57" spans="1:47" ht="16">
      <c r="A57" s="254"/>
      <c r="B57" s="254"/>
      <c r="C57" s="254"/>
      <c r="D57" s="255"/>
      <c r="E57" s="257"/>
      <c r="H57" s="698"/>
      <c r="I57" s="698"/>
      <c r="J57" s="698"/>
      <c r="K57" s="698"/>
      <c r="L57" s="699"/>
      <c r="M57" s="700"/>
      <c r="P57" s="699"/>
      <c r="S57" s="699"/>
      <c r="AA57" s="671"/>
      <c r="AB57" s="671"/>
      <c r="AE57" s="651"/>
      <c r="AF57" s="651"/>
      <c r="AG57" s="727"/>
      <c r="AH57" s="727"/>
    </row>
    <row r="58" spans="1:47" ht="16">
      <c r="A58" s="254"/>
      <c r="B58" s="254"/>
      <c r="C58" s="254"/>
      <c r="D58" s="255"/>
      <c r="E58" s="257"/>
      <c r="H58" s="698"/>
      <c r="I58" s="698"/>
      <c r="J58" s="698"/>
      <c r="K58" s="698"/>
      <c r="L58" s="699"/>
      <c r="M58" s="700"/>
      <c r="P58" s="699"/>
      <c r="S58" s="699"/>
      <c r="AA58" s="671"/>
      <c r="AB58" s="671"/>
      <c r="AE58" s="651"/>
      <c r="AF58" s="651"/>
      <c r="AG58" s="727"/>
      <c r="AH58" s="727"/>
    </row>
    <row r="59" spans="1:47" ht="16">
      <c r="A59" s="254"/>
      <c r="B59" s="254"/>
      <c r="C59" s="254"/>
      <c r="D59" s="255"/>
      <c r="E59" s="257"/>
      <c r="H59" s="698"/>
      <c r="I59" s="698"/>
      <c r="J59" s="698"/>
      <c r="K59" s="698"/>
      <c r="L59" s="699"/>
      <c r="M59" s="700"/>
      <c r="P59" s="699"/>
      <c r="S59" s="699"/>
      <c r="AA59" s="671"/>
      <c r="AB59" s="671"/>
      <c r="AE59" s="651"/>
      <c r="AF59" s="651"/>
      <c r="AG59" s="727"/>
      <c r="AH59" s="727"/>
    </row>
    <row r="60" spans="1:47" ht="16">
      <c r="A60" s="254"/>
      <c r="B60" s="254"/>
      <c r="C60" s="254"/>
      <c r="D60" s="255"/>
      <c r="E60" s="257"/>
      <c r="G60" s="246" t="s">
        <v>750</v>
      </c>
      <c r="H60" s="698"/>
      <c r="I60" s="698"/>
      <c r="J60" s="698"/>
      <c r="K60" s="698"/>
      <c r="L60" s="699"/>
      <c r="M60" s="700"/>
      <c r="P60" s="699"/>
      <c r="S60" s="699"/>
      <c r="AA60" s="671"/>
      <c r="AB60" s="671"/>
      <c r="AE60" s="651"/>
      <c r="AF60" s="651"/>
      <c r="AG60" s="727"/>
      <c r="AH60" s="727"/>
    </row>
    <row r="61" spans="1:47" ht="16">
      <c r="A61" s="254">
        <f t="shared" ref="A61:C83" si="29">($M61*$E61)*A$9</f>
        <v>6111.7815881471615</v>
      </c>
      <c r="B61" s="254">
        <f t="shared" si="29"/>
        <v>40678.557682703511</v>
      </c>
      <c r="C61" s="254">
        <f t="shared" si="29"/>
        <v>5433.6607291493256</v>
      </c>
      <c r="D61" s="255">
        <f>SUM(A61:C61)</f>
        <v>52224</v>
      </c>
      <c r="E61" s="257">
        <v>68</v>
      </c>
      <c r="H61" s="698" t="s">
        <v>969</v>
      </c>
      <c r="I61" s="698">
        <v>2</v>
      </c>
      <c r="J61" s="698" t="s">
        <v>924</v>
      </c>
      <c r="K61" s="698"/>
      <c r="L61" s="699">
        <v>2</v>
      </c>
      <c r="M61" s="700">
        <v>768</v>
      </c>
      <c r="O61" s="664">
        <f t="shared" ref="O61:O76" si="30">P61*M61</f>
        <v>0</v>
      </c>
      <c r="P61" s="699"/>
      <c r="R61" s="664">
        <f t="shared" ref="R61:R76" si="31">S61*M61</f>
        <v>6144</v>
      </c>
      <c r="S61" s="699">
        <v>8</v>
      </c>
      <c r="U61" s="664">
        <f>V61*M61</f>
        <v>0</v>
      </c>
      <c r="X61" s="664">
        <f>Y61*M61</f>
        <v>0</v>
      </c>
      <c r="AA61" s="671">
        <f>O61+R61+U61+X61</f>
        <v>6144</v>
      </c>
      <c r="AB61" s="671">
        <f>P61+S61+V61+Y61</f>
        <v>8</v>
      </c>
      <c r="AE61" s="651">
        <f t="shared" ref="AE61:AE70" si="32">ROUNDUP(((SQRT((M61/10.764)/2))*5),0)</f>
        <v>30</v>
      </c>
      <c r="AF61" s="651">
        <f t="shared" ref="AF61:AF83" si="33">ROUNDUP(((SQRT((M61/10.764)/2))*(SQRT((M61/10.764)/2))),0)</f>
        <v>36</v>
      </c>
      <c r="AG61" s="727">
        <f>SQRT(AF61)</f>
        <v>6</v>
      </c>
      <c r="AH61" s="727">
        <f>(AG61+2+2)*(AG61+2+2)</f>
        <v>100</v>
      </c>
    </row>
    <row r="62" spans="1:47" ht="16">
      <c r="A62" s="254">
        <f t="shared" si="29"/>
        <v>6111.7815881471615</v>
      </c>
      <c r="B62" s="254">
        <f t="shared" si="29"/>
        <v>40678.557682703511</v>
      </c>
      <c r="C62" s="254">
        <f t="shared" si="29"/>
        <v>5433.6607291493256</v>
      </c>
      <c r="D62" s="255">
        <f t="shared" ref="D62:D83" si="34">SUM(A62:C62)</f>
        <v>52224</v>
      </c>
      <c r="E62" s="257">
        <v>68</v>
      </c>
      <c r="H62" s="698" t="s">
        <v>970</v>
      </c>
      <c r="I62" s="698">
        <v>2</v>
      </c>
      <c r="J62" s="698" t="s">
        <v>924</v>
      </c>
      <c r="K62" s="698"/>
      <c r="L62" s="699">
        <v>2</v>
      </c>
      <c r="M62" s="700">
        <v>768</v>
      </c>
      <c r="O62" s="664">
        <f t="shared" si="30"/>
        <v>0</v>
      </c>
      <c r="P62" s="699"/>
      <c r="R62" s="664">
        <f t="shared" si="31"/>
        <v>3072</v>
      </c>
      <c r="S62" s="699">
        <v>4</v>
      </c>
      <c r="U62" s="664">
        <f t="shared" ref="U62:U83" si="35">V62*M62</f>
        <v>0</v>
      </c>
      <c r="X62" s="664">
        <f t="shared" ref="X62:X83" si="36">Y62*M62</f>
        <v>0</v>
      </c>
      <c r="AA62" s="671">
        <f t="shared" ref="AA62:AB83" si="37">O62+R62+U62+X62</f>
        <v>3072</v>
      </c>
      <c r="AB62" s="671">
        <f t="shared" ref="AB62:AB76" si="38">P62+S62+V62+Y62</f>
        <v>4</v>
      </c>
      <c r="AE62" s="651">
        <f t="shared" si="32"/>
        <v>30</v>
      </c>
      <c r="AF62" s="651">
        <f t="shared" si="33"/>
        <v>36</v>
      </c>
      <c r="AG62" s="727">
        <f t="shared" ref="AG62:AG82" si="39">SQRT(AF62)</f>
        <v>6</v>
      </c>
      <c r="AH62" s="727">
        <f t="shared" ref="AH62:AH82" si="40">(AG62+2+2)*(AG62+2+2)</f>
        <v>100</v>
      </c>
      <c r="AQ62" s="246" t="s">
        <v>754</v>
      </c>
      <c r="AR62" s="246" t="s">
        <v>755</v>
      </c>
      <c r="AS62" s="246">
        <v>832</v>
      </c>
      <c r="AT62" s="246">
        <v>33</v>
      </c>
      <c r="AU62" s="246">
        <v>27456</v>
      </c>
    </row>
    <row r="63" spans="1:47" ht="16">
      <c r="A63" s="254">
        <f t="shared" si="29"/>
        <v>6891.6703845513566</v>
      </c>
      <c r="B63" s="254">
        <f t="shared" si="29"/>
        <v>45869.311137006829</v>
      </c>
      <c r="C63" s="254">
        <f t="shared" si="29"/>
        <v>6127.0184784418179</v>
      </c>
      <c r="D63" s="255">
        <f t="shared" si="34"/>
        <v>58888</v>
      </c>
      <c r="E63" s="257">
        <v>68</v>
      </c>
      <c r="H63" s="698" t="s">
        <v>971</v>
      </c>
      <c r="I63" s="698">
        <v>2</v>
      </c>
      <c r="J63" s="698" t="s">
        <v>924</v>
      </c>
      <c r="K63" s="698"/>
      <c r="L63" s="699">
        <v>2</v>
      </c>
      <c r="M63" s="700">
        <v>866</v>
      </c>
      <c r="O63" s="664">
        <f t="shared" si="30"/>
        <v>0</v>
      </c>
      <c r="P63" s="699"/>
      <c r="R63" s="664">
        <f t="shared" si="31"/>
        <v>3464</v>
      </c>
      <c r="S63" s="699">
        <v>4</v>
      </c>
      <c r="U63" s="664">
        <f t="shared" si="35"/>
        <v>0</v>
      </c>
      <c r="X63" s="664">
        <f t="shared" si="36"/>
        <v>0</v>
      </c>
      <c r="AA63" s="671">
        <f t="shared" si="37"/>
        <v>3464</v>
      </c>
      <c r="AB63" s="671">
        <f t="shared" si="38"/>
        <v>4</v>
      </c>
      <c r="AE63" s="651">
        <f t="shared" si="32"/>
        <v>32</v>
      </c>
      <c r="AF63" s="651">
        <f t="shared" si="33"/>
        <v>41</v>
      </c>
      <c r="AG63" s="727">
        <f t="shared" si="39"/>
        <v>6.4031242374328485</v>
      </c>
      <c r="AH63" s="727">
        <f t="shared" si="40"/>
        <v>108.22499389946279</v>
      </c>
      <c r="AQ63" s="246" t="s">
        <v>756</v>
      </c>
      <c r="AR63" s="246" t="s">
        <v>755</v>
      </c>
      <c r="AS63" s="246">
        <v>832</v>
      </c>
      <c r="AT63" s="246">
        <v>6</v>
      </c>
      <c r="AU63" s="246">
        <v>4992</v>
      </c>
    </row>
    <row r="64" spans="1:47" ht="16">
      <c r="A64" s="254">
        <f t="shared" si="29"/>
        <v>6891.6703845513566</v>
      </c>
      <c r="B64" s="254">
        <f t="shared" si="29"/>
        <v>45869.311137006829</v>
      </c>
      <c r="C64" s="254">
        <f t="shared" si="29"/>
        <v>6127.0184784418179</v>
      </c>
      <c r="D64" s="255">
        <f t="shared" si="34"/>
        <v>58888</v>
      </c>
      <c r="E64" s="257">
        <v>68</v>
      </c>
      <c r="H64" s="698" t="s">
        <v>972</v>
      </c>
      <c r="I64" s="698">
        <v>2</v>
      </c>
      <c r="J64" s="698" t="s">
        <v>924</v>
      </c>
      <c r="K64" s="698"/>
      <c r="L64" s="699">
        <v>2</v>
      </c>
      <c r="M64" s="700">
        <v>866</v>
      </c>
      <c r="O64" s="664">
        <f t="shared" si="30"/>
        <v>0</v>
      </c>
      <c r="P64" s="699"/>
      <c r="R64" s="664">
        <f t="shared" si="31"/>
        <v>1732</v>
      </c>
      <c r="S64" s="699">
        <v>2</v>
      </c>
      <c r="U64" s="664">
        <f t="shared" si="35"/>
        <v>0</v>
      </c>
      <c r="X64" s="664">
        <f t="shared" si="36"/>
        <v>0</v>
      </c>
      <c r="AA64" s="671">
        <f t="shared" si="37"/>
        <v>1732</v>
      </c>
      <c r="AB64" s="671">
        <f t="shared" si="38"/>
        <v>2</v>
      </c>
      <c r="AE64" s="651">
        <f t="shared" si="32"/>
        <v>32</v>
      </c>
      <c r="AF64" s="651">
        <f t="shared" si="33"/>
        <v>41</v>
      </c>
      <c r="AG64" s="727">
        <f t="shared" si="39"/>
        <v>6.4031242374328485</v>
      </c>
      <c r="AH64" s="727">
        <f t="shared" si="40"/>
        <v>108.22499389946279</v>
      </c>
      <c r="AQ64" s="246" t="s">
        <v>757</v>
      </c>
      <c r="AR64" s="246" t="s">
        <v>755</v>
      </c>
      <c r="AS64" s="246">
        <v>1001</v>
      </c>
      <c r="AT64" s="246">
        <v>1</v>
      </c>
      <c r="AU64" s="246">
        <v>1001</v>
      </c>
    </row>
    <row r="65" spans="1:47" ht="16">
      <c r="A65" s="254">
        <f t="shared" si="29"/>
        <v>8157.0001664724487</v>
      </c>
      <c r="B65" s="254">
        <f t="shared" si="29"/>
        <v>54291.043782254041</v>
      </c>
      <c r="C65" s="254">
        <f t="shared" si="29"/>
        <v>7251.9560512735143</v>
      </c>
      <c r="D65" s="255">
        <f t="shared" si="34"/>
        <v>69700</v>
      </c>
      <c r="E65" s="257">
        <v>68</v>
      </c>
      <c r="H65" s="698" t="s">
        <v>973</v>
      </c>
      <c r="I65" s="698">
        <v>2</v>
      </c>
      <c r="J65" s="698" t="s">
        <v>924</v>
      </c>
      <c r="K65" s="698"/>
      <c r="L65" s="699">
        <v>3</v>
      </c>
      <c r="M65" s="700">
        <v>1025</v>
      </c>
      <c r="O65" s="664">
        <f t="shared" si="30"/>
        <v>0</v>
      </c>
      <c r="P65" s="699"/>
      <c r="R65" s="664">
        <f t="shared" si="31"/>
        <v>6150</v>
      </c>
      <c r="S65" s="699">
        <v>6</v>
      </c>
      <c r="U65" s="664">
        <f t="shared" si="35"/>
        <v>0</v>
      </c>
      <c r="X65" s="664">
        <f t="shared" si="36"/>
        <v>0</v>
      </c>
      <c r="AA65" s="671">
        <f t="shared" si="37"/>
        <v>6150</v>
      </c>
      <c r="AB65" s="671">
        <f t="shared" si="38"/>
        <v>6</v>
      </c>
      <c r="AE65" s="651">
        <f t="shared" si="32"/>
        <v>35</v>
      </c>
      <c r="AF65" s="651">
        <f t="shared" si="33"/>
        <v>48</v>
      </c>
      <c r="AG65" s="727">
        <f t="shared" si="39"/>
        <v>6.9282032302755088</v>
      </c>
      <c r="AH65" s="727">
        <f t="shared" si="40"/>
        <v>119.42562584220407</v>
      </c>
      <c r="AQ65" s="246" t="s">
        <v>758</v>
      </c>
      <c r="AR65" s="246" t="s">
        <v>755</v>
      </c>
      <c r="AS65" s="246">
        <v>1001</v>
      </c>
      <c r="AT65" s="246">
        <v>1</v>
      </c>
      <c r="AU65" s="246">
        <v>1001</v>
      </c>
    </row>
    <row r="66" spans="1:47" ht="16">
      <c r="A66" s="254">
        <f t="shared" si="29"/>
        <v>8574.9977034263011</v>
      </c>
      <c r="B66" s="254">
        <f t="shared" si="29"/>
        <v>57073.135496915602</v>
      </c>
      <c r="C66" s="254">
        <f t="shared" si="29"/>
        <v>7623.5754831314916</v>
      </c>
      <c r="D66" s="255">
        <f t="shared" si="34"/>
        <v>73271.708683473407</v>
      </c>
      <c r="E66" s="257">
        <v>71.484593837535016</v>
      </c>
      <c r="H66" s="698" t="s">
        <v>974</v>
      </c>
      <c r="I66" s="698">
        <v>2</v>
      </c>
      <c r="J66" s="698" t="s">
        <v>924</v>
      </c>
      <c r="K66" s="698"/>
      <c r="L66" s="699">
        <v>3</v>
      </c>
      <c r="M66" s="700">
        <v>1025</v>
      </c>
      <c r="O66" s="664">
        <f t="shared" si="30"/>
        <v>0</v>
      </c>
      <c r="P66" s="699"/>
      <c r="R66" s="664">
        <f t="shared" si="31"/>
        <v>2050</v>
      </c>
      <c r="S66" s="699">
        <v>2</v>
      </c>
      <c r="U66" s="664">
        <f t="shared" si="35"/>
        <v>0</v>
      </c>
      <c r="X66" s="664">
        <f t="shared" si="36"/>
        <v>0</v>
      </c>
      <c r="AA66" s="671">
        <f t="shared" si="37"/>
        <v>2050</v>
      </c>
      <c r="AB66" s="671">
        <f t="shared" si="38"/>
        <v>2</v>
      </c>
      <c r="AE66" s="651">
        <f t="shared" si="32"/>
        <v>35</v>
      </c>
      <c r="AF66" s="651">
        <f t="shared" si="33"/>
        <v>48</v>
      </c>
      <c r="AG66" s="727">
        <f t="shared" si="39"/>
        <v>6.9282032302755088</v>
      </c>
      <c r="AH66" s="727">
        <f t="shared" si="40"/>
        <v>119.42562584220407</v>
      </c>
      <c r="AQ66" s="246" t="s">
        <v>759</v>
      </c>
      <c r="AR66" s="246" t="s">
        <v>755</v>
      </c>
      <c r="AS66" s="246">
        <v>1026</v>
      </c>
      <c r="AT66" s="246">
        <v>5</v>
      </c>
      <c r="AU66" s="246">
        <v>5130</v>
      </c>
    </row>
    <row r="67" spans="1:47" ht="16">
      <c r="A67" s="254">
        <f t="shared" si="29"/>
        <v>7687.4752788413516</v>
      </c>
      <c r="B67" s="254">
        <f t="shared" si="29"/>
        <v>51165.998335275515</v>
      </c>
      <c r="C67" s="254">
        <f t="shared" si="29"/>
        <v>6834.5263858831358</v>
      </c>
      <c r="D67" s="255">
        <f t="shared" si="34"/>
        <v>65688</v>
      </c>
      <c r="E67" s="257">
        <v>68</v>
      </c>
      <c r="H67" s="698" t="s">
        <v>975</v>
      </c>
      <c r="I67" s="698">
        <v>2</v>
      </c>
      <c r="J67" s="698" t="s">
        <v>924</v>
      </c>
      <c r="K67" s="698"/>
      <c r="L67" s="699">
        <v>3</v>
      </c>
      <c r="M67" s="700">
        <v>966</v>
      </c>
      <c r="O67" s="664">
        <f t="shared" si="30"/>
        <v>0</v>
      </c>
      <c r="P67" s="699"/>
      <c r="R67" s="664">
        <f t="shared" si="31"/>
        <v>29946</v>
      </c>
      <c r="S67" s="699">
        <v>31</v>
      </c>
      <c r="U67" s="664">
        <f t="shared" si="35"/>
        <v>0</v>
      </c>
      <c r="X67" s="664">
        <f t="shared" si="36"/>
        <v>0</v>
      </c>
      <c r="AA67" s="671">
        <f t="shared" si="37"/>
        <v>29946</v>
      </c>
      <c r="AB67" s="671">
        <f t="shared" si="38"/>
        <v>31</v>
      </c>
      <c r="AE67" s="651">
        <f t="shared" si="32"/>
        <v>34</v>
      </c>
      <c r="AF67" s="651">
        <f t="shared" si="33"/>
        <v>45</v>
      </c>
      <c r="AG67" s="727">
        <f t="shared" si="39"/>
        <v>6.7082039324993694</v>
      </c>
      <c r="AH67" s="727">
        <f t="shared" si="40"/>
        <v>114.66563145999496</v>
      </c>
      <c r="AQ67" s="246" t="s">
        <v>760</v>
      </c>
      <c r="AR67" s="246" t="s">
        <v>755</v>
      </c>
      <c r="AS67" s="246">
        <v>1179</v>
      </c>
      <c r="AT67" s="246">
        <v>28</v>
      </c>
      <c r="AU67" s="246">
        <v>33012</v>
      </c>
    </row>
    <row r="68" spans="1:47" ht="16">
      <c r="A68" s="254">
        <f t="shared" si="29"/>
        <v>7987.6152661252645</v>
      </c>
      <c r="B68" s="254">
        <f t="shared" si="29"/>
        <v>53163.658364438277</v>
      </c>
      <c r="C68" s="254">
        <f t="shared" si="29"/>
        <v>7101.3649236533283</v>
      </c>
      <c r="D68" s="255">
        <f t="shared" si="34"/>
        <v>68252.638554216872</v>
      </c>
      <c r="E68" s="257">
        <v>70.654905335628229</v>
      </c>
      <c r="H68" s="698" t="s">
        <v>976</v>
      </c>
      <c r="I68" s="698">
        <v>2</v>
      </c>
      <c r="J68" s="698" t="s">
        <v>924</v>
      </c>
      <c r="K68" s="698"/>
      <c r="L68" s="699">
        <v>3</v>
      </c>
      <c r="M68" s="700">
        <v>966</v>
      </c>
      <c r="O68" s="664">
        <f t="shared" si="30"/>
        <v>0</v>
      </c>
      <c r="P68" s="699"/>
      <c r="R68" s="664">
        <f t="shared" si="31"/>
        <v>2898</v>
      </c>
      <c r="S68" s="699">
        <v>3</v>
      </c>
      <c r="U68" s="664">
        <f t="shared" si="35"/>
        <v>0</v>
      </c>
      <c r="X68" s="664">
        <f t="shared" si="36"/>
        <v>0</v>
      </c>
      <c r="AA68" s="671">
        <f t="shared" si="37"/>
        <v>2898</v>
      </c>
      <c r="AB68" s="671">
        <f t="shared" si="38"/>
        <v>3</v>
      </c>
      <c r="AE68" s="651">
        <f t="shared" si="32"/>
        <v>34</v>
      </c>
      <c r="AF68" s="651">
        <f t="shared" si="33"/>
        <v>45</v>
      </c>
      <c r="AG68" s="727">
        <f t="shared" si="39"/>
        <v>6.7082039324993694</v>
      </c>
      <c r="AH68" s="727">
        <f t="shared" si="40"/>
        <v>114.66563145999496</v>
      </c>
      <c r="AQ68" s="246" t="s">
        <v>761</v>
      </c>
      <c r="AR68" s="246" t="s">
        <v>755</v>
      </c>
      <c r="AS68" s="246">
        <v>1179</v>
      </c>
      <c r="AT68" s="246">
        <v>3</v>
      </c>
      <c r="AU68" s="246">
        <v>3537</v>
      </c>
    </row>
    <row r="69" spans="1:47" ht="16">
      <c r="A69" s="254">
        <f t="shared" si="29"/>
        <v>8850.6275659927105</v>
      </c>
      <c r="B69" s="254">
        <f t="shared" si="29"/>
        <v>58907.661993285765</v>
      </c>
      <c r="C69" s="254">
        <f t="shared" si="29"/>
        <v>7868.6233694814282</v>
      </c>
      <c r="D69" s="255">
        <f t="shared" si="34"/>
        <v>75626.912928759906</v>
      </c>
      <c r="E69" s="257">
        <v>67.766051011433603</v>
      </c>
      <c r="H69" s="698" t="s">
        <v>977</v>
      </c>
      <c r="I69" s="698">
        <v>2</v>
      </c>
      <c r="J69" s="698" t="s">
        <v>924</v>
      </c>
      <c r="K69" s="698"/>
      <c r="L69" s="699">
        <v>3</v>
      </c>
      <c r="M69" s="700">
        <v>1116</v>
      </c>
      <c r="O69" s="664">
        <f t="shared" si="30"/>
        <v>0</v>
      </c>
      <c r="P69" s="699"/>
      <c r="R69" s="664">
        <f t="shared" si="31"/>
        <v>10044</v>
      </c>
      <c r="S69" s="699">
        <v>9</v>
      </c>
      <c r="U69" s="664">
        <f t="shared" si="35"/>
        <v>0</v>
      </c>
      <c r="X69" s="664">
        <f t="shared" si="36"/>
        <v>0</v>
      </c>
      <c r="AA69" s="671">
        <f t="shared" si="37"/>
        <v>10044</v>
      </c>
      <c r="AB69" s="671">
        <f t="shared" si="38"/>
        <v>9</v>
      </c>
      <c r="AE69" s="651">
        <f t="shared" si="32"/>
        <v>36</v>
      </c>
      <c r="AF69" s="651">
        <f t="shared" si="33"/>
        <v>52</v>
      </c>
      <c r="AG69" s="727">
        <f t="shared" si="39"/>
        <v>7.2111025509279782</v>
      </c>
      <c r="AH69" s="727">
        <f t="shared" si="40"/>
        <v>125.68882040742385</v>
      </c>
      <c r="AQ69" s="246" t="s">
        <v>762</v>
      </c>
      <c r="AR69" s="246" t="s">
        <v>763</v>
      </c>
      <c r="AS69" s="246">
        <v>1335</v>
      </c>
      <c r="AT69" s="246">
        <v>18</v>
      </c>
      <c r="AU69" s="246">
        <v>24030</v>
      </c>
    </row>
    <row r="70" spans="1:47" ht="16">
      <c r="A70" s="254">
        <f t="shared" si="29"/>
        <v>8881.1826202763441</v>
      </c>
      <c r="B70" s="254">
        <f t="shared" si="29"/>
        <v>59111.029132678545</v>
      </c>
      <c r="C70" s="254">
        <f t="shared" si="29"/>
        <v>7895.7882470451141</v>
      </c>
      <c r="D70" s="255">
        <f t="shared" si="34"/>
        <v>75888</v>
      </c>
      <c r="E70" s="257">
        <v>68</v>
      </c>
      <c r="H70" s="698" t="s">
        <v>978</v>
      </c>
      <c r="I70" s="698">
        <v>2</v>
      </c>
      <c r="J70" s="698" t="s">
        <v>924</v>
      </c>
      <c r="K70" s="698"/>
      <c r="L70" s="699">
        <v>3</v>
      </c>
      <c r="M70" s="700">
        <v>1116</v>
      </c>
      <c r="O70" s="664">
        <f t="shared" si="30"/>
        <v>0</v>
      </c>
      <c r="P70" s="699"/>
      <c r="R70" s="664">
        <f t="shared" si="31"/>
        <v>3348</v>
      </c>
      <c r="S70" s="699">
        <v>3</v>
      </c>
      <c r="U70" s="664">
        <f t="shared" si="35"/>
        <v>0</v>
      </c>
      <c r="X70" s="664">
        <f t="shared" si="36"/>
        <v>0</v>
      </c>
      <c r="AA70" s="671">
        <f t="shared" si="37"/>
        <v>3348</v>
      </c>
      <c r="AB70" s="671">
        <f t="shared" si="38"/>
        <v>3</v>
      </c>
      <c r="AE70" s="651">
        <f t="shared" si="32"/>
        <v>36</v>
      </c>
      <c r="AF70" s="651">
        <f t="shared" si="33"/>
        <v>52</v>
      </c>
      <c r="AG70" s="727">
        <f t="shared" si="39"/>
        <v>7.2111025509279782</v>
      </c>
      <c r="AH70" s="727">
        <f t="shared" si="40"/>
        <v>125.68882040742385</v>
      </c>
      <c r="AQ70" s="246" t="s">
        <v>764</v>
      </c>
      <c r="AR70" s="246" t="s">
        <v>763</v>
      </c>
      <c r="AS70" s="246">
        <v>1342</v>
      </c>
      <c r="AT70" s="246">
        <v>5</v>
      </c>
      <c r="AU70" s="246">
        <v>6710</v>
      </c>
    </row>
    <row r="71" spans="1:47" ht="16">
      <c r="A71" s="254">
        <f t="shared" si="29"/>
        <v>8863.0335336743155</v>
      </c>
      <c r="B71" s="254">
        <f t="shared" si="29"/>
        <v>58990.233149448257</v>
      </c>
      <c r="C71" s="254">
        <f t="shared" si="29"/>
        <v>7879.6528571073213</v>
      </c>
      <c r="D71" s="255">
        <f t="shared" si="34"/>
        <v>75732.919540229894</v>
      </c>
      <c r="E71" s="257">
        <v>67.198686371100166</v>
      </c>
      <c r="H71" s="698" t="s">
        <v>979</v>
      </c>
      <c r="I71" s="698">
        <v>2.5</v>
      </c>
      <c r="J71" s="698" t="s">
        <v>924</v>
      </c>
      <c r="K71" s="698"/>
      <c r="L71" s="699">
        <v>3</v>
      </c>
      <c r="M71" s="700">
        <v>1127</v>
      </c>
      <c r="O71" s="664">
        <f t="shared" si="30"/>
        <v>0</v>
      </c>
      <c r="P71" s="699"/>
      <c r="R71" s="664">
        <f t="shared" si="31"/>
        <v>11270</v>
      </c>
      <c r="S71" s="699">
        <v>10</v>
      </c>
      <c r="U71" s="664">
        <f t="shared" si="35"/>
        <v>0</v>
      </c>
      <c r="X71" s="664">
        <f t="shared" si="36"/>
        <v>0</v>
      </c>
      <c r="AA71" s="671">
        <f t="shared" si="37"/>
        <v>11270</v>
      </c>
      <c r="AB71" s="671">
        <f t="shared" si="38"/>
        <v>10</v>
      </c>
      <c r="AE71" s="651">
        <f>ROUNDUP(((SQRT((M71/10.764)/2))*6),0)</f>
        <v>44</v>
      </c>
      <c r="AF71" s="651">
        <f t="shared" si="33"/>
        <v>53</v>
      </c>
      <c r="AG71" s="727">
        <f t="shared" si="39"/>
        <v>7.2801098892805181</v>
      </c>
      <c r="AH71" s="727">
        <f t="shared" si="40"/>
        <v>127.24087911424412</v>
      </c>
      <c r="AQ71" s="246" t="s">
        <v>765</v>
      </c>
      <c r="AR71" s="246" t="s">
        <v>763</v>
      </c>
      <c r="AS71" s="246">
        <v>1354</v>
      </c>
      <c r="AT71" s="246">
        <v>9</v>
      </c>
      <c r="AU71" s="246">
        <v>12186</v>
      </c>
    </row>
    <row r="72" spans="1:47" ht="16">
      <c r="A72" s="254">
        <f t="shared" si="29"/>
        <v>9255.2109205926427</v>
      </c>
      <c r="B72" s="254">
        <f t="shared" si="29"/>
        <v>61600.472115864824</v>
      </c>
      <c r="C72" s="254">
        <f t="shared" si="29"/>
        <v>8228.3169635425329</v>
      </c>
      <c r="D72" s="255">
        <f t="shared" si="34"/>
        <v>79084</v>
      </c>
      <c r="E72" s="257">
        <v>68</v>
      </c>
      <c r="H72" s="698" t="s">
        <v>980</v>
      </c>
      <c r="I72" s="698">
        <v>2</v>
      </c>
      <c r="J72" s="698"/>
      <c r="K72" s="698" t="s">
        <v>920</v>
      </c>
      <c r="L72" s="699">
        <v>4</v>
      </c>
      <c r="M72" s="700">
        <v>1163</v>
      </c>
      <c r="O72" s="664">
        <f t="shared" si="30"/>
        <v>0</v>
      </c>
      <c r="P72" s="699"/>
      <c r="R72" s="664">
        <f t="shared" si="31"/>
        <v>9304</v>
      </c>
      <c r="S72" s="699">
        <v>8</v>
      </c>
      <c r="U72" s="664">
        <f t="shared" si="35"/>
        <v>0</v>
      </c>
      <c r="X72" s="664">
        <f t="shared" si="36"/>
        <v>0</v>
      </c>
      <c r="AA72" s="671">
        <f t="shared" si="37"/>
        <v>9304</v>
      </c>
      <c r="AB72" s="671">
        <f t="shared" si="38"/>
        <v>8</v>
      </c>
      <c r="AE72" s="651">
        <f t="shared" ref="AE72:AE82" si="41">ROUNDUP(((SQRT((M72/10.764)/2))*6),0)</f>
        <v>45</v>
      </c>
      <c r="AF72" s="651">
        <f t="shared" si="33"/>
        <v>55</v>
      </c>
      <c r="AG72" s="727">
        <f t="shared" si="39"/>
        <v>7.416198487095663</v>
      </c>
      <c r="AH72" s="727">
        <f t="shared" si="40"/>
        <v>130.3295878967653</v>
      </c>
      <c r="AQ72" s="246" t="s">
        <v>766</v>
      </c>
      <c r="AR72" s="246" t="s">
        <v>763</v>
      </c>
      <c r="AS72" s="246">
        <v>1364</v>
      </c>
      <c r="AT72" s="246">
        <v>9</v>
      </c>
      <c r="AU72" s="246">
        <v>12276</v>
      </c>
    </row>
    <row r="73" spans="1:47" ht="16">
      <c r="A73" s="254">
        <f t="shared" si="29"/>
        <v>10146.512402197437</v>
      </c>
      <c r="B73" s="254">
        <f t="shared" si="29"/>
        <v>67532.761777925756</v>
      </c>
      <c r="C73" s="254">
        <f t="shared" si="29"/>
        <v>9020.7258198768104</v>
      </c>
      <c r="D73" s="255">
        <f t="shared" si="34"/>
        <v>86700</v>
      </c>
      <c r="E73" s="257">
        <v>68</v>
      </c>
      <c r="H73" s="698" t="s">
        <v>981</v>
      </c>
      <c r="I73" s="698">
        <v>2</v>
      </c>
      <c r="J73" s="698"/>
      <c r="K73" s="698" t="s">
        <v>988</v>
      </c>
      <c r="L73" s="699">
        <v>4</v>
      </c>
      <c r="M73" s="700">
        <v>1275</v>
      </c>
      <c r="O73" s="664">
        <f t="shared" si="30"/>
        <v>0</v>
      </c>
      <c r="P73" s="699"/>
      <c r="R73" s="664">
        <f t="shared" si="31"/>
        <v>6375</v>
      </c>
      <c r="S73" s="699">
        <v>5</v>
      </c>
      <c r="U73" s="664">
        <f t="shared" si="35"/>
        <v>0</v>
      </c>
      <c r="X73" s="664">
        <f t="shared" si="36"/>
        <v>0</v>
      </c>
      <c r="AA73" s="671">
        <f t="shared" si="37"/>
        <v>6375</v>
      </c>
      <c r="AB73" s="671">
        <f t="shared" si="38"/>
        <v>5</v>
      </c>
      <c r="AE73" s="651">
        <f t="shared" si="41"/>
        <v>47</v>
      </c>
      <c r="AF73" s="651">
        <f t="shared" si="33"/>
        <v>60</v>
      </c>
      <c r="AG73" s="727">
        <f t="shared" si="39"/>
        <v>7.745966692414834</v>
      </c>
      <c r="AH73" s="727">
        <f t="shared" si="40"/>
        <v>137.96773353931869</v>
      </c>
      <c r="AQ73" s="246" t="s">
        <v>751</v>
      </c>
      <c r="AR73" s="246" t="s">
        <v>763</v>
      </c>
      <c r="AS73" s="246">
        <v>1434</v>
      </c>
      <c r="AT73" s="246">
        <v>1</v>
      </c>
      <c r="AU73" s="246">
        <v>1434</v>
      </c>
    </row>
    <row r="74" spans="1:47" ht="16">
      <c r="A74" s="254">
        <f t="shared" si="29"/>
        <v>10647.869485600133</v>
      </c>
      <c r="B74" s="254">
        <f t="shared" si="29"/>
        <v>70869.674712835025</v>
      </c>
      <c r="C74" s="254">
        <f t="shared" si="29"/>
        <v>9466.4558015648399</v>
      </c>
      <c r="D74" s="255">
        <f t="shared" si="34"/>
        <v>90984</v>
      </c>
      <c r="E74" s="257">
        <v>68</v>
      </c>
      <c r="H74" s="698" t="s">
        <v>982</v>
      </c>
      <c r="I74" s="698">
        <v>2</v>
      </c>
      <c r="J74" s="698"/>
      <c r="K74" s="698"/>
      <c r="L74" s="699">
        <v>4</v>
      </c>
      <c r="M74" s="700">
        <v>1338</v>
      </c>
      <c r="O74" s="664">
        <f t="shared" si="30"/>
        <v>0</v>
      </c>
      <c r="P74" s="699"/>
      <c r="R74" s="664">
        <f t="shared" si="31"/>
        <v>10704</v>
      </c>
      <c r="S74" s="699">
        <v>8</v>
      </c>
      <c r="U74" s="664">
        <f t="shared" si="35"/>
        <v>0</v>
      </c>
      <c r="X74" s="664">
        <f t="shared" si="36"/>
        <v>0</v>
      </c>
      <c r="AA74" s="671">
        <f t="shared" si="37"/>
        <v>10704</v>
      </c>
      <c r="AB74" s="671">
        <f t="shared" si="38"/>
        <v>8</v>
      </c>
      <c r="AE74" s="651">
        <f t="shared" si="41"/>
        <v>48</v>
      </c>
      <c r="AF74" s="651">
        <f t="shared" si="33"/>
        <v>63</v>
      </c>
      <c r="AG74" s="727">
        <f t="shared" si="39"/>
        <v>7.9372539331937721</v>
      </c>
      <c r="AH74" s="727">
        <f t="shared" si="40"/>
        <v>142.49803146555021</v>
      </c>
      <c r="AQ74" s="246" t="s">
        <v>752</v>
      </c>
      <c r="AR74" s="246" t="s">
        <v>763</v>
      </c>
      <c r="AS74" s="246">
        <v>1491</v>
      </c>
      <c r="AT74" s="246">
        <v>7</v>
      </c>
      <c r="AU74" s="246">
        <v>10437</v>
      </c>
    </row>
    <row r="75" spans="1:47" ht="16">
      <c r="A75" s="254">
        <f t="shared" si="29"/>
        <v>10775.198268686532</v>
      </c>
      <c r="B75" s="254">
        <f t="shared" si="29"/>
        <v>71717.144664558014</v>
      </c>
      <c r="C75" s="254">
        <f t="shared" si="29"/>
        <v>9579.6570667554515</v>
      </c>
      <c r="D75" s="255">
        <f>SUM(A75:C75)</f>
        <v>92072</v>
      </c>
      <c r="E75" s="257">
        <v>68</v>
      </c>
      <c r="H75" s="698" t="s">
        <v>983</v>
      </c>
      <c r="I75" s="698">
        <v>2</v>
      </c>
      <c r="J75" s="698"/>
      <c r="K75" s="698" t="s">
        <v>920</v>
      </c>
      <c r="L75" s="699">
        <v>4</v>
      </c>
      <c r="M75" s="700">
        <v>1354</v>
      </c>
      <c r="O75" s="664">
        <f t="shared" si="30"/>
        <v>0</v>
      </c>
      <c r="P75" s="699"/>
      <c r="R75" s="664">
        <f t="shared" si="31"/>
        <v>14894</v>
      </c>
      <c r="S75" s="699">
        <v>11</v>
      </c>
      <c r="U75" s="664">
        <f>V75*M75</f>
        <v>0</v>
      </c>
      <c r="X75" s="664">
        <f>Y75*M75</f>
        <v>0</v>
      </c>
      <c r="AA75" s="671">
        <f>O75+R75+U75+X75</f>
        <v>14894</v>
      </c>
      <c r="AB75" s="671">
        <f t="shared" si="38"/>
        <v>11</v>
      </c>
      <c r="AE75" s="651">
        <f>ROUNDUP(((SQRT((M75/10.764)/2))*6),0)</f>
        <v>48</v>
      </c>
      <c r="AF75" s="651">
        <f>ROUNDUP(((SQRT((M75/10.764)/2))*(SQRT((M75/10.764)/2))),0)</f>
        <v>63</v>
      </c>
      <c r="AG75" s="727">
        <f t="shared" si="39"/>
        <v>7.9372539331937721</v>
      </c>
      <c r="AH75" s="727">
        <f t="shared" si="40"/>
        <v>142.49803146555021</v>
      </c>
      <c r="AQ75" s="246" t="s">
        <v>767</v>
      </c>
      <c r="AR75" s="246" t="s">
        <v>768</v>
      </c>
      <c r="AS75" s="246">
        <v>1539</v>
      </c>
      <c r="AT75" s="246">
        <v>8</v>
      </c>
      <c r="AU75" s="246">
        <v>12312</v>
      </c>
    </row>
    <row r="76" spans="1:47" ht="16">
      <c r="A76" s="254">
        <f t="shared" si="29"/>
        <v>11562.855805808751</v>
      </c>
      <c r="B76" s="254">
        <f t="shared" si="29"/>
        <v>76959.605000539319</v>
      </c>
      <c r="C76" s="254">
        <f t="shared" si="29"/>
        <v>10279.921591223996</v>
      </c>
      <c r="D76" s="255">
        <f t="shared" si="34"/>
        <v>98802.382397572073</v>
      </c>
      <c r="E76" s="257">
        <v>68.899848254931712</v>
      </c>
      <c r="H76" s="698" t="s">
        <v>984</v>
      </c>
      <c r="I76" s="698">
        <v>2</v>
      </c>
      <c r="J76" s="698"/>
      <c r="K76" s="698" t="s">
        <v>920</v>
      </c>
      <c r="L76" s="699">
        <v>4</v>
      </c>
      <c r="M76" s="700">
        <v>1434</v>
      </c>
      <c r="O76" s="664">
        <f t="shared" si="30"/>
        <v>0</v>
      </c>
      <c r="P76" s="699"/>
      <c r="R76" s="664">
        <f t="shared" si="31"/>
        <v>8604</v>
      </c>
      <c r="S76" s="699">
        <v>6</v>
      </c>
      <c r="U76" s="664">
        <f t="shared" si="35"/>
        <v>0</v>
      </c>
      <c r="X76" s="664">
        <f t="shared" si="36"/>
        <v>0</v>
      </c>
      <c r="AA76" s="671">
        <f t="shared" si="37"/>
        <v>8604</v>
      </c>
      <c r="AB76" s="671">
        <f t="shared" si="38"/>
        <v>6</v>
      </c>
      <c r="AE76" s="651">
        <f t="shared" si="41"/>
        <v>49</v>
      </c>
      <c r="AF76" s="651">
        <f t="shared" si="33"/>
        <v>67</v>
      </c>
      <c r="AG76" s="727">
        <f t="shared" si="39"/>
        <v>8.1853527718724504</v>
      </c>
      <c r="AH76" s="727">
        <f t="shared" si="40"/>
        <v>148.48282217497962</v>
      </c>
      <c r="AQ76" s="246" t="s">
        <v>769</v>
      </c>
      <c r="AR76" s="246" t="s">
        <v>768</v>
      </c>
      <c r="AS76" s="246">
        <v>1822</v>
      </c>
      <c r="AT76" s="246">
        <v>4</v>
      </c>
      <c r="AU76" s="246">
        <v>7288</v>
      </c>
    </row>
    <row r="77" spans="1:47" ht="16">
      <c r="A77" s="254">
        <f t="shared" si="29"/>
        <v>10606.60171430485</v>
      </c>
      <c r="B77" s="254">
        <f t="shared" si="29"/>
        <v>70595.006289093028</v>
      </c>
      <c r="C77" s="254">
        <f t="shared" si="29"/>
        <v>9429.7668157048811</v>
      </c>
      <c r="D77" s="255">
        <f t="shared" si="34"/>
        <v>90631.374819102755</v>
      </c>
      <c r="E77" s="257">
        <v>62.764109985528222</v>
      </c>
      <c r="H77" s="698" t="s">
        <v>985</v>
      </c>
      <c r="I77" s="698">
        <v>2</v>
      </c>
      <c r="J77" s="698"/>
      <c r="K77" s="698"/>
      <c r="L77" s="699">
        <v>4</v>
      </c>
      <c r="M77" s="700">
        <v>1444</v>
      </c>
      <c r="P77" s="699"/>
      <c r="R77" s="664">
        <f t="shared" ref="R77:R83" si="42">S77*M77</f>
        <v>8664</v>
      </c>
      <c r="S77" s="699">
        <v>6</v>
      </c>
      <c r="U77" s="664">
        <f t="shared" si="35"/>
        <v>0</v>
      </c>
      <c r="X77" s="664">
        <f t="shared" si="36"/>
        <v>0</v>
      </c>
      <c r="AA77" s="671">
        <f t="shared" si="37"/>
        <v>8664</v>
      </c>
      <c r="AB77" s="671">
        <f t="shared" si="37"/>
        <v>6</v>
      </c>
      <c r="AE77" s="651">
        <f t="shared" si="41"/>
        <v>50</v>
      </c>
      <c r="AF77" s="651">
        <f t="shared" si="33"/>
        <v>68</v>
      </c>
      <c r="AG77" s="727">
        <f t="shared" si="39"/>
        <v>8.2462112512353212</v>
      </c>
      <c r="AH77" s="727">
        <f t="shared" si="40"/>
        <v>149.96969000988258</v>
      </c>
      <c r="AQ77" s="246" t="s">
        <v>753</v>
      </c>
      <c r="AR77" s="246" t="s">
        <v>768</v>
      </c>
      <c r="AS77" s="246">
        <v>1822</v>
      </c>
      <c r="AT77" s="246">
        <v>1</v>
      </c>
      <c r="AU77" s="246">
        <v>1822</v>
      </c>
    </row>
    <row r="78" spans="1:47" ht="16">
      <c r="A78" s="254">
        <f t="shared" si="29"/>
        <v>10680.651700322995</v>
      </c>
      <c r="B78" s="254">
        <f t="shared" si="29"/>
        <v>71087.865299873811</v>
      </c>
      <c r="C78" s="254">
        <f t="shared" si="29"/>
        <v>9495.6007293056482</v>
      </c>
      <c r="D78" s="255">
        <f t="shared" si="34"/>
        <v>91264.117729502454</v>
      </c>
      <c r="E78" s="257">
        <v>61.292221443587948</v>
      </c>
      <c r="H78" s="698" t="s">
        <v>986</v>
      </c>
      <c r="I78" s="698">
        <v>2</v>
      </c>
      <c r="J78" s="698"/>
      <c r="K78" s="698" t="s">
        <v>920</v>
      </c>
      <c r="L78" s="699">
        <v>4</v>
      </c>
      <c r="M78" s="700">
        <v>1489</v>
      </c>
      <c r="P78" s="699"/>
      <c r="R78" s="664">
        <f t="shared" si="42"/>
        <v>14890</v>
      </c>
      <c r="S78" s="699">
        <v>10</v>
      </c>
      <c r="U78" s="664">
        <f t="shared" si="35"/>
        <v>0</v>
      </c>
      <c r="X78" s="664">
        <f t="shared" si="36"/>
        <v>0</v>
      </c>
      <c r="AA78" s="671">
        <f t="shared" si="37"/>
        <v>14890</v>
      </c>
      <c r="AB78" s="671">
        <f t="shared" si="37"/>
        <v>10</v>
      </c>
      <c r="AE78" s="651">
        <f t="shared" si="41"/>
        <v>50</v>
      </c>
      <c r="AF78" s="651">
        <f t="shared" si="33"/>
        <v>70</v>
      </c>
      <c r="AG78" s="727">
        <f t="shared" si="39"/>
        <v>8.3666002653407556</v>
      </c>
      <c r="AH78" s="727">
        <f t="shared" si="40"/>
        <v>152.93280212272606</v>
      </c>
    </row>
    <row r="79" spans="1:47" ht="16">
      <c r="A79" s="254">
        <f t="shared" si="29"/>
        <v>12399.154885539521</v>
      </c>
      <c r="B79" s="254">
        <f t="shared" si="29"/>
        <v>82525.811819970724</v>
      </c>
      <c r="C79" s="254">
        <f t="shared" si="29"/>
        <v>11023.430730387197</v>
      </c>
      <c r="D79" s="255">
        <f>SUM(A79:C79)</f>
        <v>105948.39743589744</v>
      </c>
      <c r="E79" s="257">
        <v>69.474358974358978</v>
      </c>
      <c r="H79" s="698" t="s">
        <v>987</v>
      </c>
      <c r="I79" s="698">
        <v>2</v>
      </c>
      <c r="J79" s="698"/>
      <c r="K79" s="698" t="s">
        <v>920</v>
      </c>
      <c r="L79" s="699">
        <v>5</v>
      </c>
      <c r="M79" s="700">
        <v>1525</v>
      </c>
      <c r="P79" s="699"/>
      <c r="R79" s="664">
        <f>S79*M79</f>
        <v>10675</v>
      </c>
      <c r="S79" s="699">
        <v>7</v>
      </c>
      <c r="U79" s="664">
        <f>V79*M79</f>
        <v>0</v>
      </c>
      <c r="X79" s="664">
        <f>Y79*M79</f>
        <v>0</v>
      </c>
      <c r="AA79" s="671">
        <f>O79+R79+U79+X79</f>
        <v>10675</v>
      </c>
      <c r="AB79" s="671">
        <f>P79+S79+V79+Y79</f>
        <v>7</v>
      </c>
      <c r="AE79" s="651">
        <f>ROUNDUP(((SQRT((M79/10.764)/2))*6),0)</f>
        <v>51</v>
      </c>
      <c r="AF79" s="651">
        <f>ROUNDUP(((SQRT((M79/10.764)/2))*(SQRT((M79/10.764)/2))),0)</f>
        <v>71</v>
      </c>
      <c r="AG79" s="727">
        <f t="shared" si="39"/>
        <v>8.426149773176359</v>
      </c>
      <c r="AH79" s="727">
        <f t="shared" si="40"/>
        <v>154.40919818541087</v>
      </c>
    </row>
    <row r="80" spans="1:47" ht="16">
      <c r="A80" s="254">
        <f t="shared" si="29"/>
        <v>0</v>
      </c>
      <c r="B80" s="254">
        <f t="shared" si="29"/>
        <v>0</v>
      </c>
      <c r="C80" s="254">
        <f t="shared" si="29"/>
        <v>0</v>
      </c>
      <c r="D80" s="255">
        <f t="shared" si="34"/>
        <v>0</v>
      </c>
      <c r="E80" s="257">
        <v>69.474358974358978</v>
      </c>
      <c r="H80" s="698"/>
      <c r="I80" s="698"/>
      <c r="J80" s="698"/>
      <c r="K80" s="698"/>
      <c r="L80" s="699"/>
      <c r="M80" s="700"/>
      <c r="P80" s="699"/>
      <c r="R80" s="664">
        <f t="shared" si="42"/>
        <v>0</v>
      </c>
      <c r="S80" s="699"/>
      <c r="U80" s="664">
        <f t="shared" si="35"/>
        <v>0</v>
      </c>
      <c r="X80" s="664">
        <f t="shared" si="36"/>
        <v>0</v>
      </c>
      <c r="AA80" s="671">
        <f t="shared" si="37"/>
        <v>0</v>
      </c>
      <c r="AB80" s="671">
        <f t="shared" si="37"/>
        <v>0</v>
      </c>
      <c r="AE80" s="651">
        <f t="shared" si="41"/>
        <v>0</v>
      </c>
      <c r="AF80" s="651">
        <f t="shared" si="33"/>
        <v>0</v>
      </c>
      <c r="AG80" s="727">
        <f t="shared" si="39"/>
        <v>0</v>
      </c>
      <c r="AH80" s="727">
        <f t="shared" si="40"/>
        <v>16</v>
      </c>
    </row>
    <row r="81" spans="1:34" ht="16">
      <c r="A81" s="254">
        <f t="shared" si="29"/>
        <v>0</v>
      </c>
      <c r="B81" s="254">
        <f t="shared" si="29"/>
        <v>0</v>
      </c>
      <c r="C81" s="254">
        <f t="shared" si="29"/>
        <v>0</v>
      </c>
      <c r="D81" s="255">
        <f t="shared" si="34"/>
        <v>0</v>
      </c>
      <c r="E81" s="257">
        <v>69.165035877364645</v>
      </c>
      <c r="H81" s="698"/>
      <c r="I81" s="698"/>
      <c r="J81" s="698"/>
      <c r="K81" s="698"/>
      <c r="L81" s="699"/>
      <c r="M81" s="700"/>
      <c r="P81" s="699"/>
      <c r="R81" s="664">
        <f t="shared" si="42"/>
        <v>0</v>
      </c>
      <c r="S81" s="699"/>
      <c r="U81" s="664">
        <f t="shared" si="35"/>
        <v>0</v>
      </c>
      <c r="X81" s="664">
        <f t="shared" si="36"/>
        <v>0</v>
      </c>
      <c r="AA81" s="671">
        <f t="shared" si="37"/>
        <v>0</v>
      </c>
      <c r="AB81" s="671">
        <f t="shared" si="37"/>
        <v>0</v>
      </c>
      <c r="AE81" s="651">
        <f t="shared" si="41"/>
        <v>0</v>
      </c>
      <c r="AF81" s="651">
        <f t="shared" si="33"/>
        <v>0</v>
      </c>
      <c r="AG81" s="727">
        <f t="shared" si="39"/>
        <v>0</v>
      </c>
      <c r="AH81" s="727">
        <f t="shared" si="40"/>
        <v>16</v>
      </c>
    </row>
    <row r="82" spans="1:34" ht="16">
      <c r="A82" s="254">
        <f t="shared" si="29"/>
        <v>0</v>
      </c>
      <c r="B82" s="254">
        <f t="shared" si="29"/>
        <v>0</v>
      </c>
      <c r="C82" s="254">
        <f t="shared" si="29"/>
        <v>0</v>
      </c>
      <c r="D82" s="255">
        <f t="shared" si="34"/>
        <v>0</v>
      </c>
      <c r="E82" s="257">
        <v>57.659163987138264</v>
      </c>
      <c r="H82" s="698"/>
      <c r="I82" s="698"/>
      <c r="J82" s="698"/>
      <c r="K82" s="698"/>
      <c r="L82" s="699"/>
      <c r="M82" s="700"/>
      <c r="P82" s="699"/>
      <c r="R82" s="664">
        <f t="shared" si="42"/>
        <v>0</v>
      </c>
      <c r="S82" s="699"/>
      <c r="U82" s="664">
        <f t="shared" si="35"/>
        <v>0</v>
      </c>
      <c r="X82" s="664">
        <f t="shared" si="36"/>
        <v>0</v>
      </c>
      <c r="AA82" s="671">
        <f t="shared" si="37"/>
        <v>0</v>
      </c>
      <c r="AB82" s="671">
        <f t="shared" si="37"/>
        <v>0</v>
      </c>
      <c r="AE82" s="651">
        <f t="shared" si="41"/>
        <v>0</v>
      </c>
      <c r="AF82" s="651">
        <f t="shared" si="33"/>
        <v>0</v>
      </c>
      <c r="AG82" s="727">
        <f t="shared" si="39"/>
        <v>0</v>
      </c>
      <c r="AH82" s="727">
        <f t="shared" si="40"/>
        <v>16</v>
      </c>
    </row>
    <row r="83" spans="1:34" ht="16">
      <c r="A83" s="254">
        <f t="shared" si="29"/>
        <v>0</v>
      </c>
      <c r="B83" s="254">
        <f t="shared" si="29"/>
        <v>0</v>
      </c>
      <c r="C83" s="254">
        <f t="shared" si="29"/>
        <v>0</v>
      </c>
      <c r="D83" s="255">
        <f t="shared" si="34"/>
        <v>0</v>
      </c>
      <c r="E83" s="257">
        <v>66.486150367439237</v>
      </c>
      <c r="R83" s="664">
        <f t="shared" si="42"/>
        <v>0</v>
      </c>
      <c r="U83" s="664">
        <f t="shared" si="35"/>
        <v>0</v>
      </c>
      <c r="X83" s="664">
        <f t="shared" si="36"/>
        <v>0</v>
      </c>
      <c r="AA83" s="671">
        <f t="shared" si="37"/>
        <v>0</v>
      </c>
      <c r="AB83" s="671">
        <f t="shared" si="37"/>
        <v>0</v>
      </c>
      <c r="AE83" s="651">
        <f>ROUNDUP(((SQRT((M83/10.764)/2))*7),0)</f>
        <v>0</v>
      </c>
      <c r="AF83" s="651">
        <f t="shared" si="33"/>
        <v>0</v>
      </c>
    </row>
    <row r="84" spans="1:34">
      <c r="AF84" s="651"/>
    </row>
    <row r="85" spans="1:34">
      <c r="G85" s="250" t="s">
        <v>248</v>
      </c>
      <c r="Q85" s="670"/>
      <c r="T85" s="670"/>
      <c r="AF85" s="651"/>
    </row>
    <row r="86" spans="1:34">
      <c r="AF86" s="651"/>
    </row>
    <row r="87" spans="1:34">
      <c r="A87" s="254">
        <f t="shared" ref="A87:C88" si="43">($M87*$E87)*A$9</f>
        <v>0</v>
      </c>
      <c r="B87" s="254">
        <f t="shared" si="43"/>
        <v>0</v>
      </c>
      <c r="C87" s="254">
        <f t="shared" si="43"/>
        <v>0</v>
      </c>
      <c r="D87" s="255">
        <f>SUM(A87:C87)</f>
        <v>0</v>
      </c>
      <c r="E87" s="255">
        <v>72</v>
      </c>
      <c r="O87" s="664">
        <f>P87*M87</f>
        <v>0</v>
      </c>
      <c r="R87" s="664">
        <f>S87*M87</f>
        <v>0</v>
      </c>
      <c r="U87" s="664">
        <f>V87*M87</f>
        <v>0</v>
      </c>
      <c r="X87" s="664">
        <f>Y87*M87</f>
        <v>0</v>
      </c>
      <c r="AA87" s="671">
        <f>O87+R87+U87+X87</f>
        <v>0</v>
      </c>
      <c r="AB87" s="671">
        <f>P87+S87+V87+Y87</f>
        <v>0</v>
      </c>
      <c r="AE87" s="651">
        <f>ROUNDUP(((SQRT((M87/10.764)/2))*5),0)</f>
        <v>0</v>
      </c>
      <c r="AF87" s="651">
        <f>ROUNDUP(((SQRT((M87/10.764)/2))*(SQRT((M87/10.764)/2))),0)</f>
        <v>0</v>
      </c>
    </row>
    <row r="88" spans="1:34">
      <c r="A88" s="254">
        <f t="shared" si="43"/>
        <v>0</v>
      </c>
      <c r="B88" s="254">
        <f t="shared" si="43"/>
        <v>0</v>
      </c>
      <c r="C88" s="254">
        <f t="shared" si="43"/>
        <v>0</v>
      </c>
      <c r="D88" s="255">
        <f>SUM(A88:C88)</f>
        <v>0</v>
      </c>
      <c r="E88" s="255">
        <v>72</v>
      </c>
      <c r="O88" s="664">
        <f>P88*M88</f>
        <v>0</v>
      </c>
      <c r="R88" s="664">
        <f>S88*M88</f>
        <v>0</v>
      </c>
      <c r="U88" s="664">
        <f>V88*M88</f>
        <v>0</v>
      </c>
      <c r="X88" s="664">
        <f>Y88*M88</f>
        <v>0</v>
      </c>
      <c r="AA88" s="671">
        <f>O88+R88+U88+X88</f>
        <v>0</v>
      </c>
      <c r="AB88" s="671">
        <f>P88+S88+V88+Y88</f>
        <v>0</v>
      </c>
      <c r="AE88" s="651">
        <f>ROUNDUP(((SQRT((M88/10.764)/2))*5),0)</f>
        <v>0</v>
      </c>
      <c r="AF88" s="651">
        <f>ROUNDUP(((SQRT((M88/10.764)/2))*(SQRT((M88/10.764)/2))),0)</f>
        <v>0</v>
      </c>
    </row>
    <row r="90" spans="1:34" ht="16" thickBot="1">
      <c r="O90" s="668">
        <f>SUM(O9:O89)</f>
        <v>309398</v>
      </c>
      <c r="P90" s="668">
        <f>SUM(P9:P89)</f>
        <v>302</v>
      </c>
      <c r="R90" s="668">
        <f>SUM(R61:R89)</f>
        <v>164228</v>
      </c>
      <c r="S90" s="668">
        <f>SUM(S61:S89)</f>
        <v>143</v>
      </c>
      <c r="U90" s="668">
        <f>SUM(U61:U89)</f>
        <v>0</v>
      </c>
      <c r="V90" s="668">
        <f>SUM(V61:V89)</f>
        <v>0</v>
      </c>
      <c r="X90" s="668">
        <f>SUM(X61:X89)</f>
        <v>0</v>
      </c>
      <c r="Y90" s="668">
        <f>SUM(Y66:Y89)</f>
        <v>0</v>
      </c>
      <c r="AA90" s="668">
        <f>SUM(AA11:AA89)</f>
        <v>473626</v>
      </c>
      <c r="AB90" s="668">
        <f>SUM(AB10:AB89)</f>
        <v>445</v>
      </c>
      <c r="AE90" s="256">
        <f>SUMPRODUCT(AB11:AB89,AE11:AE89)</f>
        <v>17246</v>
      </c>
      <c r="AF90" s="256">
        <f>SUMPRODUCT(AB11:AB89,AF11:AF89)</f>
        <v>22268</v>
      </c>
      <c r="AH90" s="256">
        <f>SUMPRODUCT(AB11:AB89,AH11:AH89)</f>
        <v>54475.605840221026</v>
      </c>
    </row>
    <row r="91" spans="1:34" ht="16" thickTop="1">
      <c r="AA91" s="669">
        <f>AA90/AA95</f>
        <v>16264.692622738628</v>
      </c>
      <c r="AB91" s="669">
        <f>AB90/AA95</f>
        <v>15.281653070394551</v>
      </c>
    </row>
    <row r="93" spans="1:34">
      <c r="H93" s="246" t="s">
        <v>249</v>
      </c>
      <c r="L93" s="669">
        <f>199301/4046</f>
        <v>49.258774097874443</v>
      </c>
      <c r="O93" s="669">
        <f>L93-R93</f>
        <v>39.038803756796838</v>
      </c>
      <c r="R93" s="669">
        <f>4.135*10000/4046</f>
        <v>10.219970341077607</v>
      </c>
      <c r="U93" s="669"/>
      <c r="X93" s="669"/>
      <c r="AA93" s="669">
        <f>O93+R93+U93+X93</f>
        <v>49.258774097874443</v>
      </c>
    </row>
    <row r="94" spans="1:34">
      <c r="H94" s="246" t="s">
        <v>250</v>
      </c>
      <c r="L94" s="669">
        <f>O94+R94</f>
        <v>20.138887790410283</v>
      </c>
      <c r="O94" s="669">
        <f>O93-O95</f>
        <v>19.928803756796839</v>
      </c>
      <c r="R94" s="669">
        <f>R93-R95</f>
        <v>0.21008403361344463</v>
      </c>
      <c r="U94" s="669"/>
      <c r="X94" s="669"/>
      <c r="AA94" s="669">
        <f>O94+R94+U94+X94</f>
        <v>20.138887790410283</v>
      </c>
    </row>
    <row r="95" spans="1:34">
      <c r="H95" s="246" t="s">
        <v>251</v>
      </c>
      <c r="L95" s="669">
        <f>L93-L94</f>
        <v>29.11988630746416</v>
      </c>
      <c r="O95" s="669">
        <f>7.93+11.18</f>
        <v>19.11</v>
      </c>
      <c r="R95" s="669">
        <f>4.05*10000/4046</f>
        <v>10.009886307464162</v>
      </c>
      <c r="U95" s="669">
        <f>U93-U94</f>
        <v>0</v>
      </c>
      <c r="X95" s="669">
        <f>X93-X94</f>
        <v>0</v>
      </c>
      <c r="AA95" s="669">
        <f>O95+R95+U95+X95</f>
        <v>29.119886307464164</v>
      </c>
    </row>
    <row r="96" spans="1:34">
      <c r="O96" s="669"/>
      <c r="R96" s="669"/>
    </row>
    <row r="98" spans="8:29">
      <c r="H98" s="246" t="s">
        <v>252</v>
      </c>
      <c r="L98" s="248">
        <f>O98/P90</f>
        <v>6.5</v>
      </c>
      <c r="O98" s="664">
        <f>SUM(O99:O102)</f>
        <v>1963</v>
      </c>
      <c r="R98" s="664">
        <f>SUM(R99:R102)</f>
        <v>929.5</v>
      </c>
      <c r="U98" s="664">
        <f>SUM(U99:U102)</f>
        <v>0</v>
      </c>
      <c r="AA98" s="669">
        <f>O98+R98+U98+X98</f>
        <v>2892.5</v>
      </c>
    </row>
    <row r="99" spans="8:29">
      <c r="H99" s="727">
        <v>7.3</v>
      </c>
      <c r="I99" s="727"/>
      <c r="J99" s="727"/>
      <c r="O99" s="664">
        <v>0</v>
      </c>
    </row>
    <row r="100" spans="8:29">
      <c r="H100" s="727">
        <v>6.5</v>
      </c>
      <c r="I100" s="727"/>
      <c r="J100" s="727"/>
      <c r="O100" s="664">
        <v>0</v>
      </c>
    </row>
    <row r="101" spans="8:29">
      <c r="H101" s="727">
        <v>5.5</v>
      </c>
      <c r="I101" s="727"/>
      <c r="J101" s="727"/>
      <c r="O101" s="664">
        <f>P90*6.5</f>
        <v>1963</v>
      </c>
      <c r="R101" s="664">
        <f>6.5*S90</f>
        <v>929.5</v>
      </c>
      <c r="AA101" s="669"/>
    </row>
    <row r="102" spans="8:29">
      <c r="H102" s="727">
        <v>4.5</v>
      </c>
      <c r="I102" s="727"/>
      <c r="J102" s="727"/>
      <c r="O102" s="664">
        <v>0</v>
      </c>
    </row>
    <row r="104" spans="8:29">
      <c r="H104" s="246" t="s">
        <v>253</v>
      </c>
      <c r="O104" s="664">
        <f>O101*2</f>
        <v>3926</v>
      </c>
      <c r="R104" s="664">
        <f>R101*2</f>
        <v>1859</v>
      </c>
      <c r="U104" s="664">
        <f>U101*2</f>
        <v>0</v>
      </c>
      <c r="AA104" s="669">
        <f>O104+R104+U104+X104</f>
        <v>5785</v>
      </c>
    </row>
    <row r="105" spans="8:29">
      <c r="H105" s="246" t="s">
        <v>254</v>
      </c>
    </row>
    <row r="106" spans="8:29">
      <c r="H106" s="246" t="s">
        <v>255</v>
      </c>
      <c r="O106" s="664">
        <f>160+160+120+20+40+40+40+40+120</f>
        <v>740</v>
      </c>
    </row>
    <row r="107" spans="8:29">
      <c r="H107" s="246" t="s">
        <v>256</v>
      </c>
    </row>
    <row r="109" spans="8:29">
      <c r="H109" s="246" t="s">
        <v>257</v>
      </c>
      <c r="L109" s="248">
        <f>O109/P90</f>
        <v>2.5</v>
      </c>
      <c r="O109" s="664">
        <f>2.5*P90</f>
        <v>755</v>
      </c>
      <c r="R109" s="664">
        <f>2.5*S90</f>
        <v>357.5</v>
      </c>
      <c r="X109" s="669"/>
      <c r="AA109" s="669">
        <f>O109+R109+U109+X109</f>
        <v>1112.5</v>
      </c>
    </row>
    <row r="112" spans="8:29">
      <c r="H112" s="246" t="s">
        <v>496</v>
      </c>
      <c r="N112" s="249">
        <f>AF90</f>
        <v>22268</v>
      </c>
      <c r="AC112" s="246" t="s">
        <v>39</v>
      </c>
    </row>
    <row r="113" spans="8:29">
      <c r="H113" s="246" t="s">
        <v>499</v>
      </c>
      <c r="N113" s="249">
        <f>SUMPRODUCT(P61:P89,AE61:AE89)</f>
        <v>0</v>
      </c>
    </row>
    <row r="114" spans="8:29">
      <c r="H114" s="246" t="s">
        <v>497</v>
      </c>
      <c r="N114" s="249">
        <f>14*3*P90</f>
        <v>12684</v>
      </c>
      <c r="AC114" s="246" t="s">
        <v>39</v>
      </c>
    </row>
    <row r="115" spans="8:29">
      <c r="H115" s="246" t="s">
        <v>498</v>
      </c>
      <c r="N115" s="249">
        <f>0.9*(AE90*0.75)</f>
        <v>11641.050000000001</v>
      </c>
      <c r="AC115" s="246" t="s">
        <v>39</v>
      </c>
    </row>
    <row r="117" spans="8:29">
      <c r="H117" s="246" t="s">
        <v>276</v>
      </c>
      <c r="N117" s="249">
        <f>SUMPRODUCT(H99:H102,O99:O102)</f>
        <v>10796.5</v>
      </c>
      <c r="AC117" s="246" t="s">
        <v>39</v>
      </c>
    </row>
    <row r="118" spans="8:29">
      <c r="H118" s="246" t="s">
        <v>253</v>
      </c>
      <c r="N118" s="249">
        <f>O104*2</f>
        <v>7852</v>
      </c>
      <c r="AC118" s="246" t="s">
        <v>4</v>
      </c>
    </row>
  </sheetData>
  <mergeCells count="6">
    <mergeCell ref="AA5:AB5"/>
    <mergeCell ref="A7:D7"/>
    <mergeCell ref="O5:P5"/>
    <mergeCell ref="R5:S5"/>
    <mergeCell ref="U5:V5"/>
    <mergeCell ref="X5:Y5"/>
  </mergeCells>
  <phoneticPr fontId="3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1D5CD-27D3-B242-8055-679EA9641D63}">
  <dimension ref="A1:H77"/>
  <sheetViews>
    <sheetView zoomScale="140" zoomScaleNormal="140" workbookViewId="0">
      <pane ySplit="5" topLeftCell="A61" activePane="bottomLeft" state="frozenSplit"/>
      <selection activeCell="A55" sqref="A55:I71"/>
      <selection pane="bottomLeft" activeCell="A55" sqref="A55:I71"/>
    </sheetView>
  </sheetViews>
  <sheetFormatPr baseColWidth="10" defaultColWidth="8.83203125" defaultRowHeight="15"/>
  <cols>
    <col min="1" max="1" width="20.5" bestFit="1" customWidth="1"/>
    <col min="2" max="2" width="7.5" bestFit="1" customWidth="1"/>
    <col min="3" max="3" width="15.5" bestFit="1" customWidth="1"/>
    <col min="4" max="4" width="7.33203125" bestFit="1" customWidth="1"/>
    <col min="5" max="5" width="5.33203125" bestFit="1" customWidth="1"/>
    <col min="6" max="6" width="12" bestFit="1" customWidth="1"/>
    <col min="7" max="7" width="10.1640625" bestFit="1" customWidth="1"/>
    <col min="8" max="8" width="4.1640625" bestFit="1" customWidth="1"/>
  </cols>
  <sheetData>
    <row r="1" spans="1:8" ht="21">
      <c r="B1" s="891"/>
      <c r="C1" s="891"/>
      <c r="D1" s="891"/>
      <c r="E1" s="891"/>
      <c r="F1" s="891"/>
      <c r="H1" s="891"/>
    </row>
    <row r="3" spans="1:8" ht="19">
      <c r="B3" s="556"/>
      <c r="C3" s="556"/>
      <c r="D3" s="556"/>
      <c r="E3" s="556" t="s">
        <v>931</v>
      </c>
      <c r="F3" s="556"/>
      <c r="H3" s="556"/>
    </row>
    <row r="5" spans="1:8">
      <c r="A5" s="1" t="s">
        <v>930</v>
      </c>
      <c r="B5" s="1" t="s">
        <v>929</v>
      </c>
      <c r="C5" s="1" t="s">
        <v>928</v>
      </c>
      <c r="D5" s="1" t="s">
        <v>27</v>
      </c>
      <c r="E5" s="1" t="s">
        <v>238</v>
      </c>
      <c r="F5" s="1" t="s">
        <v>926</v>
      </c>
      <c r="H5" s="1" t="s">
        <v>927</v>
      </c>
    </row>
    <row r="6" spans="1:8">
      <c r="A6" s="1" t="s">
        <v>925</v>
      </c>
      <c r="B6" s="1"/>
      <c r="C6" s="1"/>
      <c r="D6" s="1"/>
      <c r="E6" s="1"/>
      <c r="F6" s="1"/>
      <c r="H6" s="1"/>
    </row>
    <row r="7" spans="1:8" ht="16">
      <c r="A7" s="893" t="s">
        <v>969</v>
      </c>
      <c r="B7" s="893">
        <v>2</v>
      </c>
      <c r="C7" t="s">
        <v>924</v>
      </c>
      <c r="D7" s="893"/>
      <c r="E7" s="893">
        <v>2</v>
      </c>
      <c r="F7" s="896">
        <v>768</v>
      </c>
      <c r="H7" s="897">
        <v>8</v>
      </c>
    </row>
    <row r="8" spans="1:8" ht="16">
      <c r="A8" s="893" t="s">
        <v>970</v>
      </c>
      <c r="B8" s="893">
        <v>2</v>
      </c>
      <c r="C8" t="s">
        <v>924</v>
      </c>
      <c r="D8" s="893"/>
      <c r="E8" s="893">
        <v>2</v>
      </c>
      <c r="F8" s="896">
        <v>768</v>
      </c>
      <c r="H8" s="897">
        <v>4</v>
      </c>
    </row>
    <row r="9" spans="1:8" ht="16">
      <c r="A9" s="893" t="s">
        <v>971</v>
      </c>
      <c r="B9" s="893">
        <v>2</v>
      </c>
      <c r="C9" t="s">
        <v>924</v>
      </c>
      <c r="D9" s="893"/>
      <c r="E9" s="893">
        <v>2</v>
      </c>
      <c r="F9" s="896">
        <v>866</v>
      </c>
      <c r="H9" s="897">
        <v>4</v>
      </c>
    </row>
    <row r="10" spans="1:8" ht="16">
      <c r="A10" s="893" t="s">
        <v>972</v>
      </c>
      <c r="B10" s="894">
        <v>2</v>
      </c>
      <c r="C10" t="s">
        <v>924</v>
      </c>
      <c r="D10" s="893"/>
      <c r="E10" s="893">
        <v>2</v>
      </c>
      <c r="F10" s="896">
        <v>866</v>
      </c>
      <c r="H10" s="897">
        <v>2</v>
      </c>
    </row>
    <row r="11" spans="1:8" ht="16">
      <c r="A11" s="893" t="s">
        <v>973</v>
      </c>
      <c r="B11" s="893">
        <v>2</v>
      </c>
      <c r="C11" t="s">
        <v>924</v>
      </c>
      <c r="D11" s="893"/>
      <c r="E11" s="893">
        <v>3</v>
      </c>
      <c r="F11" s="896">
        <v>1025</v>
      </c>
      <c r="H11" s="897">
        <v>6</v>
      </c>
    </row>
    <row r="12" spans="1:8" ht="16">
      <c r="A12" s="893" t="s">
        <v>974</v>
      </c>
      <c r="B12" s="893">
        <v>2</v>
      </c>
      <c r="C12" t="s">
        <v>924</v>
      </c>
      <c r="D12" s="893"/>
      <c r="E12" s="893">
        <v>3</v>
      </c>
      <c r="F12" s="896">
        <v>1025</v>
      </c>
      <c r="H12" s="897">
        <v>2</v>
      </c>
    </row>
    <row r="13" spans="1:8" ht="16">
      <c r="A13" s="893" t="s">
        <v>975</v>
      </c>
      <c r="B13" s="893">
        <v>2</v>
      </c>
      <c r="C13" t="s">
        <v>924</v>
      </c>
      <c r="D13" s="893"/>
      <c r="E13" s="893">
        <v>3</v>
      </c>
      <c r="F13" s="896">
        <v>966</v>
      </c>
      <c r="H13" s="897">
        <v>31</v>
      </c>
    </row>
    <row r="14" spans="1:8" ht="16">
      <c r="A14" s="893" t="s">
        <v>976</v>
      </c>
      <c r="B14" s="893">
        <v>2</v>
      </c>
      <c r="C14" t="s">
        <v>924</v>
      </c>
      <c r="D14" s="893"/>
      <c r="E14" s="893">
        <v>3</v>
      </c>
      <c r="F14" s="896">
        <v>966</v>
      </c>
      <c r="H14" s="897">
        <v>3</v>
      </c>
    </row>
    <row r="15" spans="1:8" ht="16">
      <c r="A15" s="893" t="s">
        <v>977</v>
      </c>
      <c r="B15" s="893">
        <v>2</v>
      </c>
      <c r="C15" t="s">
        <v>924</v>
      </c>
      <c r="D15" s="893"/>
      <c r="E15" s="893">
        <v>3</v>
      </c>
      <c r="F15" s="896">
        <v>1116</v>
      </c>
      <c r="H15" s="897">
        <v>9</v>
      </c>
    </row>
    <row r="16" spans="1:8" ht="16">
      <c r="A16" s="893" t="s">
        <v>978</v>
      </c>
      <c r="B16" s="893">
        <v>2</v>
      </c>
      <c r="C16" t="s">
        <v>924</v>
      </c>
      <c r="D16" s="893"/>
      <c r="E16" s="895">
        <v>3</v>
      </c>
      <c r="F16" s="896">
        <v>1116</v>
      </c>
      <c r="H16" s="897">
        <v>3</v>
      </c>
    </row>
    <row r="17" spans="1:8" ht="16">
      <c r="A17" s="893" t="s">
        <v>979</v>
      </c>
      <c r="B17" s="893">
        <v>2.5</v>
      </c>
      <c r="C17" t="s">
        <v>924</v>
      </c>
      <c r="D17" s="893"/>
      <c r="E17" s="895">
        <f>VALUE([23]Summary!$B$2)</f>
        <v>3</v>
      </c>
      <c r="F17" s="896">
        <v>1127</v>
      </c>
      <c r="H17" s="897">
        <v>10</v>
      </c>
    </row>
    <row r="18" spans="1:8" ht="16">
      <c r="A18" s="893" t="s">
        <v>980</v>
      </c>
      <c r="B18" s="893">
        <v>2</v>
      </c>
      <c r="D18" s="893" t="s">
        <v>920</v>
      </c>
      <c r="E18" s="895">
        <v>4</v>
      </c>
      <c r="F18" s="896">
        <v>1163</v>
      </c>
      <c r="H18" s="897">
        <v>8</v>
      </c>
    </row>
    <row r="19" spans="1:8" ht="16">
      <c r="A19" s="893" t="s">
        <v>981</v>
      </c>
      <c r="B19" s="893">
        <v>2</v>
      </c>
      <c r="D19" s="893" t="s">
        <v>988</v>
      </c>
      <c r="E19" s="895">
        <v>4</v>
      </c>
      <c r="F19" s="896">
        <v>1275</v>
      </c>
      <c r="H19" s="897">
        <v>5</v>
      </c>
    </row>
    <row r="20" spans="1:8" ht="16">
      <c r="A20" s="893" t="s">
        <v>982</v>
      </c>
      <c r="B20" s="893">
        <v>2</v>
      </c>
      <c r="D20" s="893"/>
      <c r="E20" s="895">
        <v>4</v>
      </c>
      <c r="F20" s="896">
        <v>1338</v>
      </c>
      <c r="H20" s="897">
        <v>8</v>
      </c>
    </row>
    <row r="21" spans="1:8" ht="16">
      <c r="A21" s="893" t="s">
        <v>983</v>
      </c>
      <c r="B21" s="893">
        <v>2</v>
      </c>
      <c r="D21" s="893" t="s">
        <v>920</v>
      </c>
      <c r="E21" s="895">
        <v>4</v>
      </c>
      <c r="F21" s="896">
        <v>1354</v>
      </c>
      <c r="H21" s="897">
        <v>11</v>
      </c>
    </row>
    <row r="22" spans="1:8" ht="16">
      <c r="A22" s="893" t="s">
        <v>984</v>
      </c>
      <c r="B22" s="893">
        <v>2</v>
      </c>
      <c r="D22" s="893" t="s">
        <v>920</v>
      </c>
      <c r="E22" s="895">
        <v>4</v>
      </c>
      <c r="F22" s="896">
        <v>1434</v>
      </c>
      <c r="H22" s="897">
        <v>6</v>
      </c>
    </row>
    <row r="23" spans="1:8" ht="16">
      <c r="A23" s="893" t="s">
        <v>985</v>
      </c>
      <c r="B23" s="893">
        <v>2</v>
      </c>
      <c r="D23" s="893"/>
      <c r="E23" s="895">
        <v>4</v>
      </c>
      <c r="F23" s="896">
        <v>1444</v>
      </c>
      <c r="H23" s="897">
        <v>6</v>
      </c>
    </row>
    <row r="24" spans="1:8" ht="16">
      <c r="A24" s="893" t="s">
        <v>986</v>
      </c>
      <c r="B24" s="893">
        <v>2</v>
      </c>
      <c r="D24" s="893" t="s">
        <v>920</v>
      </c>
      <c r="E24" s="895">
        <v>4</v>
      </c>
      <c r="F24" s="896">
        <v>1489</v>
      </c>
      <c r="H24" s="897">
        <v>10</v>
      </c>
    </row>
    <row r="25" spans="1:8" ht="16">
      <c r="A25" s="893" t="s">
        <v>987</v>
      </c>
      <c r="B25" s="893">
        <v>2</v>
      </c>
      <c r="D25" s="893" t="s">
        <v>920</v>
      </c>
      <c r="E25" s="895">
        <v>5</v>
      </c>
      <c r="F25" s="896">
        <v>1525</v>
      </c>
      <c r="H25" s="897">
        <v>7</v>
      </c>
    </row>
    <row r="26" spans="1:8">
      <c r="A26" s="890" t="s">
        <v>919</v>
      </c>
      <c r="B26" s="890"/>
      <c r="C26" s="890"/>
      <c r="D26" s="890"/>
      <c r="E26" s="890"/>
      <c r="F26" s="890"/>
      <c r="H26" s="890">
        <f>SUM(H7:H25)</f>
        <v>143</v>
      </c>
    </row>
    <row r="27" spans="1:8">
      <c r="A27" s="1"/>
      <c r="B27" s="1"/>
      <c r="C27" s="1"/>
      <c r="D27" s="1"/>
      <c r="E27" s="1"/>
      <c r="F27" s="1"/>
      <c r="H27" s="1"/>
    </row>
    <row r="28" spans="1:8">
      <c r="A28" s="1" t="s">
        <v>1006</v>
      </c>
    </row>
    <row r="29" spans="1:8">
      <c r="A29" s="900" t="s">
        <v>989</v>
      </c>
      <c r="B29" s="901">
        <v>2</v>
      </c>
      <c r="C29" t="s">
        <v>924</v>
      </c>
      <c r="E29">
        <v>2</v>
      </c>
      <c r="F29" s="903">
        <v>866</v>
      </c>
      <c r="H29" s="905">
        <v>6</v>
      </c>
    </row>
    <row r="30" spans="1:8">
      <c r="A30" s="900" t="s">
        <v>1007</v>
      </c>
      <c r="B30" s="901">
        <v>2</v>
      </c>
      <c r="C30" t="s">
        <v>924</v>
      </c>
      <c r="E30">
        <v>2</v>
      </c>
      <c r="F30" s="903">
        <v>866</v>
      </c>
      <c r="H30" s="905">
        <v>1</v>
      </c>
    </row>
    <row r="31" spans="1:8">
      <c r="A31" s="900" t="s">
        <v>990</v>
      </c>
      <c r="B31" s="901">
        <v>2</v>
      </c>
      <c r="C31" t="s">
        <v>924</v>
      </c>
      <c r="E31">
        <v>2</v>
      </c>
      <c r="F31" s="903">
        <v>1025</v>
      </c>
      <c r="H31" s="905">
        <v>4</v>
      </c>
    </row>
    <row r="32" spans="1:8">
      <c r="A32" s="900" t="s">
        <v>1008</v>
      </c>
      <c r="B32" s="901">
        <v>2</v>
      </c>
      <c r="C32" t="s">
        <v>924</v>
      </c>
      <c r="E32">
        <v>2</v>
      </c>
      <c r="F32" s="903">
        <v>1025</v>
      </c>
      <c r="H32" s="905">
        <v>2</v>
      </c>
    </row>
    <row r="33" spans="1:8">
      <c r="A33" s="900" t="s">
        <v>991</v>
      </c>
      <c r="B33" s="901">
        <v>2</v>
      </c>
      <c r="C33" t="s">
        <v>924</v>
      </c>
      <c r="E33">
        <v>2</v>
      </c>
      <c r="F33" s="903">
        <v>785</v>
      </c>
      <c r="H33" s="905">
        <v>10</v>
      </c>
    </row>
    <row r="34" spans="1:8">
      <c r="A34" s="900" t="s">
        <v>992</v>
      </c>
      <c r="B34" s="901">
        <v>2</v>
      </c>
      <c r="C34" t="s">
        <v>924</v>
      </c>
      <c r="E34">
        <v>2</v>
      </c>
      <c r="F34" s="903">
        <v>785</v>
      </c>
      <c r="H34" s="905">
        <v>4</v>
      </c>
    </row>
    <row r="35" spans="1:8">
      <c r="A35" s="900" t="s">
        <v>1009</v>
      </c>
      <c r="B35" s="901">
        <v>2</v>
      </c>
      <c r="C35" t="s">
        <v>924</v>
      </c>
      <c r="E35">
        <v>3</v>
      </c>
      <c r="F35" s="903">
        <v>922</v>
      </c>
      <c r="H35" s="905">
        <v>9</v>
      </c>
    </row>
    <row r="36" spans="1:8">
      <c r="A36" s="900" t="s">
        <v>1010</v>
      </c>
      <c r="B36" s="901">
        <v>2</v>
      </c>
      <c r="C36" t="s">
        <v>924</v>
      </c>
      <c r="E36">
        <v>3</v>
      </c>
      <c r="F36" s="903">
        <v>934</v>
      </c>
      <c r="H36" s="905">
        <v>12</v>
      </c>
    </row>
    <row r="37" spans="1:8">
      <c r="A37" s="900" t="s">
        <v>994</v>
      </c>
      <c r="B37" s="901">
        <v>2</v>
      </c>
      <c r="C37" t="s">
        <v>924</v>
      </c>
      <c r="E37">
        <v>3</v>
      </c>
      <c r="F37" s="903">
        <v>970</v>
      </c>
      <c r="H37" s="905">
        <v>28</v>
      </c>
    </row>
    <row r="38" spans="1:8">
      <c r="A38" s="900" t="s">
        <v>995</v>
      </c>
      <c r="B38" s="901">
        <v>2</v>
      </c>
      <c r="C38" t="s">
        <v>924</v>
      </c>
      <c r="E38">
        <v>3</v>
      </c>
      <c r="F38" s="903">
        <v>970</v>
      </c>
      <c r="H38" s="905">
        <v>6</v>
      </c>
    </row>
    <row r="39" spans="1:8">
      <c r="A39" s="900" t="s">
        <v>996</v>
      </c>
      <c r="B39" s="901">
        <v>2</v>
      </c>
      <c r="C39" t="s">
        <v>924</v>
      </c>
      <c r="E39">
        <v>3</v>
      </c>
      <c r="F39" s="903">
        <v>970</v>
      </c>
      <c r="H39" s="905">
        <v>13</v>
      </c>
    </row>
    <row r="40" spans="1:8">
      <c r="A40" s="900" t="s">
        <v>998</v>
      </c>
      <c r="B40" s="901">
        <v>2</v>
      </c>
      <c r="C40" t="s">
        <v>923</v>
      </c>
      <c r="E40">
        <v>3</v>
      </c>
      <c r="F40" s="903">
        <v>995</v>
      </c>
      <c r="H40" s="905">
        <v>2</v>
      </c>
    </row>
    <row r="41" spans="1:8">
      <c r="A41" s="900" t="s">
        <v>997</v>
      </c>
      <c r="B41" s="901">
        <v>2</v>
      </c>
      <c r="C41" t="s">
        <v>924</v>
      </c>
      <c r="E41">
        <v>3</v>
      </c>
      <c r="F41" s="903">
        <v>995</v>
      </c>
      <c r="H41" s="905">
        <v>5</v>
      </c>
    </row>
    <row r="42" spans="1:8">
      <c r="A42" s="900" t="s">
        <v>999</v>
      </c>
      <c r="B42" s="901">
        <v>2</v>
      </c>
      <c r="C42" t="s">
        <v>924</v>
      </c>
      <c r="E42">
        <v>3</v>
      </c>
      <c r="F42" s="903">
        <v>1046</v>
      </c>
      <c r="H42" s="905">
        <v>4</v>
      </c>
    </row>
    <row r="43" spans="1:8">
      <c r="A43" s="900" t="s">
        <v>1001</v>
      </c>
      <c r="B43" s="901">
        <v>2.5</v>
      </c>
      <c r="C43" t="s">
        <v>924</v>
      </c>
      <c r="D43" t="s">
        <v>920</v>
      </c>
      <c r="E43">
        <v>3</v>
      </c>
      <c r="F43" s="903">
        <v>1122</v>
      </c>
      <c r="H43" s="905">
        <v>8</v>
      </c>
    </row>
    <row r="44" spans="1:8">
      <c r="A44" s="900" t="s">
        <v>1003</v>
      </c>
      <c r="B44" s="901">
        <v>2</v>
      </c>
      <c r="C44" t="s">
        <v>924</v>
      </c>
      <c r="D44" t="s">
        <v>920</v>
      </c>
      <c r="E44">
        <v>3</v>
      </c>
      <c r="F44" s="903">
        <v>1225</v>
      </c>
      <c r="H44" s="905">
        <v>5</v>
      </c>
    </row>
    <row r="45" spans="1:8">
      <c r="A45" s="900" t="s">
        <v>993</v>
      </c>
      <c r="B45" s="901">
        <v>2</v>
      </c>
      <c r="C45" t="s">
        <v>921</v>
      </c>
      <c r="E45">
        <v>3</v>
      </c>
      <c r="F45" s="903">
        <v>952</v>
      </c>
      <c r="H45" s="905">
        <v>7</v>
      </c>
    </row>
    <row r="46" spans="1:8">
      <c r="A46" s="900" t="s">
        <v>1004</v>
      </c>
      <c r="B46" s="901">
        <v>2</v>
      </c>
      <c r="C46" t="s">
        <v>924</v>
      </c>
      <c r="D46" t="s">
        <v>920</v>
      </c>
      <c r="E46">
        <v>3</v>
      </c>
      <c r="F46" s="903">
        <v>1551</v>
      </c>
      <c r="H46" s="905">
        <v>5</v>
      </c>
    </row>
    <row r="47" spans="1:8">
      <c r="B47" s="901"/>
    </row>
    <row r="48" spans="1:8">
      <c r="B48" s="901"/>
    </row>
    <row r="49" spans="1:8">
      <c r="B49" s="901"/>
    </row>
    <row r="50" spans="1:8">
      <c r="B50" s="901"/>
    </row>
    <row r="51" spans="1:8">
      <c r="B51" s="901"/>
    </row>
    <row r="52" spans="1:8">
      <c r="A52" s="890" t="s">
        <v>919</v>
      </c>
      <c r="B52" s="890"/>
      <c r="C52" s="890"/>
      <c r="D52" s="890"/>
      <c r="E52" s="890"/>
      <c r="F52" s="890"/>
      <c r="H52" s="890">
        <f>SUM(H29:H51)</f>
        <v>131</v>
      </c>
    </row>
    <row r="53" spans="1:8">
      <c r="A53" s="1"/>
      <c r="B53" s="1"/>
      <c r="C53" s="1"/>
      <c r="D53" s="1"/>
      <c r="E53" s="1"/>
      <c r="F53" s="1"/>
      <c r="H53" s="1"/>
    </row>
    <row r="54" spans="1:8">
      <c r="A54" s="1" t="s">
        <v>1005</v>
      </c>
    </row>
    <row r="55" spans="1:8">
      <c r="A55" s="898" t="s">
        <v>989</v>
      </c>
      <c r="B55" s="899">
        <v>2</v>
      </c>
      <c r="C55" t="s">
        <v>924</v>
      </c>
      <c r="D55" s="898"/>
      <c r="E55">
        <v>2</v>
      </c>
      <c r="F55" s="903">
        <v>866</v>
      </c>
      <c r="H55" s="906">
        <v>4</v>
      </c>
    </row>
    <row r="56" spans="1:8">
      <c r="A56" s="898" t="s">
        <v>990</v>
      </c>
      <c r="B56" s="899">
        <v>2</v>
      </c>
      <c r="C56" t="s">
        <v>924</v>
      </c>
      <c r="D56" s="898"/>
      <c r="E56">
        <v>3</v>
      </c>
      <c r="F56" s="903">
        <v>1025</v>
      </c>
      <c r="H56" s="906">
        <v>10</v>
      </c>
    </row>
    <row r="57" spans="1:8">
      <c r="A57" s="898" t="s">
        <v>991</v>
      </c>
      <c r="B57" s="899">
        <v>2</v>
      </c>
      <c r="C57" t="s">
        <v>924</v>
      </c>
      <c r="D57" s="898"/>
      <c r="E57">
        <v>2</v>
      </c>
      <c r="F57" s="903">
        <v>785</v>
      </c>
      <c r="H57" s="906">
        <v>8</v>
      </c>
    </row>
    <row r="58" spans="1:8">
      <c r="A58" s="898" t="s">
        <v>992</v>
      </c>
      <c r="B58" s="899">
        <v>2</v>
      </c>
      <c r="C58" t="s">
        <v>924</v>
      </c>
      <c r="D58" s="898"/>
      <c r="E58">
        <v>2</v>
      </c>
      <c r="F58" s="903">
        <v>785</v>
      </c>
      <c r="H58" s="906">
        <v>2</v>
      </c>
    </row>
    <row r="59" spans="1:8">
      <c r="A59" s="898" t="s">
        <v>993</v>
      </c>
      <c r="B59" s="899">
        <v>2</v>
      </c>
      <c r="C59" t="s">
        <v>924</v>
      </c>
      <c r="D59" s="898"/>
      <c r="E59">
        <v>3</v>
      </c>
      <c r="F59" s="903">
        <v>952</v>
      </c>
      <c r="H59" s="906">
        <v>8</v>
      </c>
    </row>
    <row r="60" spans="1:8">
      <c r="A60" s="898" t="s">
        <v>994</v>
      </c>
      <c r="B60" s="899">
        <v>2</v>
      </c>
      <c r="C60" t="s">
        <v>924</v>
      </c>
      <c r="D60" s="898"/>
      <c r="E60">
        <v>3</v>
      </c>
      <c r="F60" s="903">
        <v>970</v>
      </c>
      <c r="H60" s="906">
        <v>36</v>
      </c>
    </row>
    <row r="61" spans="1:8">
      <c r="A61" s="898" t="s">
        <v>995</v>
      </c>
      <c r="B61" s="899">
        <v>2</v>
      </c>
      <c r="C61" t="s">
        <v>924</v>
      </c>
      <c r="D61" s="898"/>
      <c r="E61">
        <v>3</v>
      </c>
      <c r="F61" s="903">
        <v>970</v>
      </c>
      <c r="H61" s="906">
        <v>2</v>
      </c>
    </row>
    <row r="62" spans="1:8">
      <c r="A62" s="898" t="s">
        <v>996</v>
      </c>
      <c r="B62" s="899">
        <v>2</v>
      </c>
      <c r="C62" t="s">
        <v>924</v>
      </c>
      <c r="D62" s="898"/>
      <c r="E62">
        <v>3</v>
      </c>
      <c r="F62" s="903">
        <v>970</v>
      </c>
      <c r="H62" s="906">
        <v>20</v>
      </c>
    </row>
    <row r="63" spans="1:8">
      <c r="A63" s="898" t="s">
        <v>997</v>
      </c>
      <c r="B63" s="899">
        <v>2</v>
      </c>
      <c r="C63" t="s">
        <v>924</v>
      </c>
      <c r="D63" s="898"/>
      <c r="E63">
        <v>3</v>
      </c>
      <c r="F63" s="903">
        <v>995</v>
      </c>
      <c r="H63" s="906">
        <v>6</v>
      </c>
    </row>
    <row r="64" spans="1:8">
      <c r="A64" s="898" t="s">
        <v>998</v>
      </c>
      <c r="B64" s="899">
        <v>2</v>
      </c>
      <c r="C64" t="s">
        <v>924</v>
      </c>
      <c r="D64" s="898"/>
      <c r="E64">
        <v>3</v>
      </c>
      <c r="F64" s="903">
        <v>995</v>
      </c>
      <c r="H64" s="906">
        <v>1</v>
      </c>
    </row>
    <row r="65" spans="1:8">
      <c r="A65" s="898" t="s">
        <v>999</v>
      </c>
      <c r="B65" s="899">
        <v>2</v>
      </c>
      <c r="C65" t="s">
        <v>924</v>
      </c>
      <c r="D65" s="898"/>
      <c r="E65">
        <v>3</v>
      </c>
      <c r="F65" s="903">
        <v>1046</v>
      </c>
      <c r="H65" s="906">
        <v>7</v>
      </c>
    </row>
    <row r="66" spans="1:8">
      <c r="A66" s="898" t="s">
        <v>1000</v>
      </c>
      <c r="B66" s="899">
        <v>2</v>
      </c>
      <c r="C66" t="s">
        <v>924</v>
      </c>
      <c r="D66" s="898"/>
      <c r="E66">
        <v>4</v>
      </c>
      <c r="F66" s="903">
        <v>1074</v>
      </c>
      <c r="H66" s="906">
        <v>22</v>
      </c>
    </row>
    <row r="67" spans="1:8">
      <c r="A67" s="898" t="s">
        <v>1001</v>
      </c>
      <c r="B67" s="899">
        <v>2.5</v>
      </c>
      <c r="D67" s="898" t="s">
        <v>920</v>
      </c>
      <c r="E67">
        <v>4</v>
      </c>
      <c r="F67" s="903">
        <v>1122</v>
      </c>
      <c r="H67" s="906">
        <v>14</v>
      </c>
    </row>
    <row r="68" spans="1:8">
      <c r="A68" s="898" t="s">
        <v>1002</v>
      </c>
      <c r="B68" s="899">
        <v>2</v>
      </c>
      <c r="C68" t="s">
        <v>924</v>
      </c>
      <c r="D68" s="898"/>
      <c r="E68">
        <v>4</v>
      </c>
      <c r="F68" s="903">
        <v>1276</v>
      </c>
      <c r="H68" s="906">
        <v>9</v>
      </c>
    </row>
    <row r="69" spans="1:8">
      <c r="A69" s="898" t="s">
        <v>1003</v>
      </c>
      <c r="B69" s="899">
        <v>2</v>
      </c>
      <c r="D69" s="898" t="s">
        <v>920</v>
      </c>
      <c r="E69">
        <v>4</v>
      </c>
      <c r="F69" s="903">
        <v>1225</v>
      </c>
      <c r="H69" s="906">
        <v>12</v>
      </c>
    </row>
    <row r="70" spans="1:8">
      <c r="A70" s="898" t="s">
        <v>1003</v>
      </c>
      <c r="B70" s="899">
        <v>2</v>
      </c>
      <c r="D70" s="898" t="s">
        <v>922</v>
      </c>
      <c r="E70">
        <v>4</v>
      </c>
      <c r="F70" s="903">
        <v>1225</v>
      </c>
      <c r="H70" s="906">
        <v>1</v>
      </c>
    </row>
    <row r="71" spans="1:8">
      <c r="A71" s="898" t="s">
        <v>1004</v>
      </c>
      <c r="B71" s="899">
        <v>2</v>
      </c>
      <c r="D71" s="898" t="s">
        <v>920</v>
      </c>
      <c r="E71">
        <v>5</v>
      </c>
      <c r="F71" s="903">
        <v>1551</v>
      </c>
      <c r="H71" s="906">
        <v>9</v>
      </c>
    </row>
    <row r="75" spans="1:8">
      <c r="A75" s="890" t="s">
        <v>919</v>
      </c>
      <c r="B75" s="890"/>
      <c r="C75" s="890"/>
      <c r="D75" s="890"/>
      <c r="E75" s="890"/>
      <c r="F75" s="890"/>
      <c r="H75" s="890">
        <f>SUM(H55:H74)</f>
        <v>171</v>
      </c>
    </row>
    <row r="77" spans="1:8">
      <c r="A77" s="890" t="s">
        <v>918</v>
      </c>
      <c r="B77" s="890"/>
      <c r="C77" s="890"/>
      <c r="D77" s="890"/>
      <c r="E77" s="890"/>
      <c r="F77" s="890"/>
      <c r="H77" s="890">
        <f>H75+H52+H26</f>
        <v>445</v>
      </c>
    </row>
  </sheetData>
  <dataValidations count="1">
    <dataValidation type="list" allowBlank="1" showInputMessage="1" showErrorMessage="1" sqref="A29:A46" xr:uid="{D9696736-7740-8F45-B7F8-9DCA6CD0CC22}">
      <formula1>References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A54FF-0365-5745-973D-369ACEDD8537}">
  <sheetPr>
    <pageSetUpPr fitToPage="1"/>
  </sheetPr>
  <dimension ref="A2:BP51"/>
  <sheetViews>
    <sheetView zoomScale="109" zoomScaleNormal="109" workbookViewId="0">
      <selection activeCell="D39" sqref="D39"/>
    </sheetView>
  </sheetViews>
  <sheetFormatPr baseColWidth="10" defaultColWidth="8.83203125" defaultRowHeight="15"/>
  <cols>
    <col min="1" max="2" width="8.83203125" style="754"/>
    <col min="3" max="3" width="38.33203125" style="754" bestFit="1" customWidth="1"/>
    <col min="4" max="4" width="19.5" style="754" bestFit="1" customWidth="1"/>
    <col min="5" max="5" width="12" style="754" bestFit="1" customWidth="1"/>
    <col min="6" max="6" width="11.1640625" style="754" customWidth="1"/>
    <col min="7" max="7" width="8.83203125" style="754"/>
    <col min="8" max="8" width="9.6640625" style="754" customWidth="1"/>
    <col min="9" max="16" width="8.83203125" style="754"/>
    <col min="17" max="17" width="9.83203125" style="754" customWidth="1"/>
    <col min="18" max="16384" width="8.83203125" style="754"/>
  </cols>
  <sheetData>
    <row r="2" spans="1:66">
      <c r="C2" s="1068" t="s">
        <v>816</v>
      </c>
      <c r="D2" s="1069"/>
      <c r="E2" s="1069"/>
      <c r="F2" s="1069"/>
      <c r="G2" s="1069"/>
      <c r="H2" s="1069"/>
      <c r="I2" s="1069"/>
      <c r="J2" s="1069"/>
      <c r="K2" s="1069"/>
      <c r="L2" s="1069"/>
      <c r="M2" s="1069"/>
      <c r="N2" s="1069"/>
      <c r="O2" s="1069"/>
      <c r="P2" s="1070"/>
    </row>
    <row r="3" spans="1:66">
      <c r="C3" s="1071"/>
      <c r="D3" s="1072"/>
      <c r="E3" s="1072"/>
      <c r="F3" s="1072"/>
      <c r="G3" s="1072"/>
      <c r="H3" s="1072"/>
      <c r="I3" s="1072"/>
      <c r="J3" s="1072"/>
      <c r="K3" s="1072"/>
      <c r="L3" s="1072"/>
      <c r="M3" s="1072"/>
      <c r="N3" s="1072"/>
      <c r="O3" s="1072"/>
      <c r="P3" s="1073"/>
    </row>
    <row r="5" spans="1:66" ht="16" thickBot="1"/>
    <row r="6" spans="1:66">
      <c r="A6" s="815" t="s">
        <v>815</v>
      </c>
      <c r="C6" s="1074" t="s">
        <v>814</v>
      </c>
      <c r="D6" s="1076" t="s">
        <v>813</v>
      </c>
      <c r="E6" s="1077"/>
      <c r="F6" s="1080">
        <v>2022</v>
      </c>
      <c r="G6" s="1080"/>
      <c r="H6" s="1080"/>
      <c r="I6" s="1080"/>
      <c r="J6" s="1080"/>
      <c r="K6" s="1080"/>
      <c r="L6" s="1080"/>
      <c r="M6" s="1080"/>
      <c r="N6" s="1080"/>
      <c r="O6" s="1080"/>
      <c r="P6" s="1080"/>
      <c r="Q6" s="1081"/>
      <c r="R6" s="1089">
        <v>2023</v>
      </c>
      <c r="S6" s="1084"/>
      <c r="T6" s="1084"/>
      <c r="U6" s="1084"/>
      <c r="V6" s="1084"/>
      <c r="W6" s="1084"/>
      <c r="X6" s="1084"/>
      <c r="Y6" s="1084"/>
      <c r="Z6" s="1084"/>
      <c r="AA6" s="1084"/>
      <c r="AB6" s="1084"/>
      <c r="AC6" s="1084"/>
      <c r="AD6" s="1083">
        <v>2024</v>
      </c>
      <c r="AE6" s="1084"/>
      <c r="AF6" s="1084"/>
      <c r="AG6" s="1084"/>
      <c r="AH6" s="1084"/>
      <c r="AI6" s="1084"/>
      <c r="AJ6" s="1084"/>
      <c r="AK6" s="1084"/>
      <c r="AL6" s="1084"/>
      <c r="AM6" s="1084"/>
      <c r="AN6" s="1085"/>
      <c r="AO6" s="1086"/>
      <c r="AP6" s="1083">
        <v>2025</v>
      </c>
      <c r="AQ6" s="1084"/>
      <c r="AR6" s="1084"/>
      <c r="AS6" s="1084"/>
      <c r="AT6" s="1084"/>
      <c r="AU6" s="1084"/>
      <c r="AV6" s="1084"/>
      <c r="AW6" s="1084"/>
      <c r="AX6" s="1084"/>
      <c r="AY6" s="1084"/>
      <c r="AZ6" s="1085"/>
      <c r="BA6" s="1086"/>
      <c r="BB6" s="814">
        <v>2026</v>
      </c>
      <c r="BC6" s="814">
        <v>2027</v>
      </c>
      <c r="BD6" s="814">
        <v>2028</v>
      </c>
      <c r="BE6" s="814">
        <v>2029</v>
      </c>
      <c r="BF6" s="814">
        <v>2030</v>
      </c>
      <c r="BG6" s="814">
        <v>2031</v>
      </c>
      <c r="BH6" s="814">
        <v>2032</v>
      </c>
      <c r="BI6" s="814">
        <v>2033</v>
      </c>
      <c r="BJ6" s="814">
        <v>2034</v>
      </c>
      <c r="BK6" s="814">
        <v>2035</v>
      </c>
      <c r="BL6" s="814">
        <v>2036</v>
      </c>
      <c r="BM6" s="814">
        <v>2037</v>
      </c>
      <c r="BN6" s="814">
        <v>2038</v>
      </c>
    </row>
    <row r="7" spans="1:66" ht="16" thickBot="1">
      <c r="A7" s="789"/>
      <c r="C7" s="1075"/>
      <c r="D7" s="1078"/>
      <c r="E7" s="1079"/>
      <c r="F7" s="813" t="s">
        <v>812</v>
      </c>
      <c r="G7" s="813" t="s">
        <v>811</v>
      </c>
      <c r="H7" s="813" t="s">
        <v>810</v>
      </c>
      <c r="I7" s="813" t="s">
        <v>809</v>
      </c>
      <c r="J7" s="813" t="s">
        <v>808</v>
      </c>
      <c r="K7" s="813" t="s">
        <v>807</v>
      </c>
      <c r="L7" s="813" t="s">
        <v>806</v>
      </c>
      <c r="M7" s="813" t="s">
        <v>805</v>
      </c>
      <c r="N7" s="813" t="s">
        <v>804</v>
      </c>
      <c r="O7" s="813" t="s">
        <v>803</v>
      </c>
      <c r="P7" s="813" t="s">
        <v>802</v>
      </c>
      <c r="Q7" s="813" t="s">
        <v>801</v>
      </c>
      <c r="R7" s="813" t="s">
        <v>812</v>
      </c>
      <c r="S7" s="813" t="s">
        <v>811</v>
      </c>
      <c r="T7" s="813" t="s">
        <v>810</v>
      </c>
      <c r="U7" s="813" t="s">
        <v>809</v>
      </c>
      <c r="V7" s="813" t="s">
        <v>808</v>
      </c>
      <c r="W7" s="813" t="s">
        <v>807</v>
      </c>
      <c r="X7" s="813" t="s">
        <v>806</v>
      </c>
      <c r="Y7" s="813" t="s">
        <v>805</v>
      </c>
      <c r="Z7" s="813" t="s">
        <v>804</v>
      </c>
      <c r="AA7" s="813" t="s">
        <v>803</v>
      </c>
      <c r="AB7" s="813" t="s">
        <v>802</v>
      </c>
      <c r="AC7" s="813" t="s">
        <v>801</v>
      </c>
      <c r="AD7" s="813" t="s">
        <v>812</v>
      </c>
      <c r="AE7" s="813" t="s">
        <v>811</v>
      </c>
      <c r="AF7" s="813" t="s">
        <v>810</v>
      </c>
      <c r="AG7" s="813" t="s">
        <v>809</v>
      </c>
      <c r="AH7" s="813" t="s">
        <v>808</v>
      </c>
      <c r="AI7" s="813" t="s">
        <v>807</v>
      </c>
      <c r="AJ7" s="813" t="s">
        <v>806</v>
      </c>
      <c r="AK7" s="813" t="s">
        <v>805</v>
      </c>
      <c r="AL7" s="813" t="s">
        <v>804</v>
      </c>
      <c r="AM7" s="813" t="s">
        <v>803</v>
      </c>
      <c r="AN7" s="813" t="s">
        <v>802</v>
      </c>
      <c r="AO7" s="813" t="s">
        <v>801</v>
      </c>
      <c r="AP7" s="813" t="s">
        <v>812</v>
      </c>
      <c r="AQ7" s="813" t="s">
        <v>811</v>
      </c>
      <c r="AR7" s="813" t="s">
        <v>810</v>
      </c>
      <c r="AS7" s="813" t="s">
        <v>809</v>
      </c>
      <c r="AT7" s="813" t="s">
        <v>808</v>
      </c>
      <c r="AU7" s="813" t="s">
        <v>807</v>
      </c>
      <c r="AV7" s="813" t="s">
        <v>806</v>
      </c>
      <c r="AW7" s="813" t="s">
        <v>805</v>
      </c>
      <c r="AX7" s="813" t="s">
        <v>804</v>
      </c>
      <c r="AY7" s="813" t="s">
        <v>803</v>
      </c>
      <c r="AZ7" s="813" t="s">
        <v>802</v>
      </c>
      <c r="BA7" s="813" t="s">
        <v>801</v>
      </c>
      <c r="BB7" s="813" t="s">
        <v>800</v>
      </c>
      <c r="BC7" s="813" t="s">
        <v>800</v>
      </c>
      <c r="BD7" s="813" t="s">
        <v>800</v>
      </c>
      <c r="BE7" s="813" t="s">
        <v>800</v>
      </c>
      <c r="BF7" s="813" t="s">
        <v>800</v>
      </c>
      <c r="BG7" s="813" t="s">
        <v>800</v>
      </c>
      <c r="BH7" s="813" t="s">
        <v>800</v>
      </c>
      <c r="BI7" s="813" t="s">
        <v>800</v>
      </c>
      <c r="BJ7" s="813" t="s">
        <v>800</v>
      </c>
      <c r="BK7" s="813" t="s">
        <v>800</v>
      </c>
      <c r="BL7" s="813" t="s">
        <v>800</v>
      </c>
      <c r="BM7" s="813" t="s">
        <v>800</v>
      </c>
      <c r="BN7" s="813" t="s">
        <v>800</v>
      </c>
    </row>
    <row r="8" spans="1:66">
      <c r="A8" s="789"/>
      <c r="C8" s="812"/>
      <c r="D8" s="1095"/>
      <c r="E8" s="1096"/>
      <c r="F8" s="809"/>
      <c r="G8" s="809"/>
      <c r="H8" s="809"/>
      <c r="I8" s="809"/>
      <c r="J8" s="809"/>
      <c r="K8" s="809"/>
      <c r="L8" s="809"/>
      <c r="M8" s="809"/>
      <c r="N8" s="809"/>
      <c r="O8" s="809"/>
      <c r="P8" s="809"/>
      <c r="Q8" s="811"/>
      <c r="R8" s="810"/>
      <c r="S8" s="809"/>
      <c r="T8" s="809"/>
      <c r="U8" s="809"/>
      <c r="V8" s="809"/>
      <c r="W8" s="809"/>
      <c r="X8" s="809"/>
      <c r="Y8" s="809"/>
      <c r="Z8" s="808"/>
      <c r="AA8" s="808"/>
      <c r="AB8" s="808"/>
      <c r="AC8" s="807"/>
      <c r="AD8" s="806"/>
      <c r="AE8" s="808"/>
      <c r="AF8" s="808"/>
      <c r="AG8" s="808"/>
      <c r="AH8" s="808"/>
      <c r="AI8" s="808"/>
      <c r="AJ8" s="808"/>
      <c r="AK8" s="808"/>
      <c r="AL8" s="808"/>
      <c r="AM8" s="808"/>
      <c r="AN8" s="808"/>
      <c r="AO8" s="807"/>
      <c r="AP8" s="806"/>
      <c r="AQ8" s="808"/>
      <c r="AR8" s="808"/>
      <c r="AS8" s="808"/>
      <c r="AT8" s="808"/>
      <c r="AU8" s="808"/>
      <c r="AV8" s="808"/>
      <c r="AW8" s="808"/>
      <c r="AX8" s="808"/>
      <c r="AY8" s="808"/>
      <c r="AZ8" s="808"/>
      <c r="BA8" s="807"/>
      <c r="BB8" s="806"/>
      <c r="BC8" s="806"/>
      <c r="BD8" s="806"/>
      <c r="BE8" s="806"/>
      <c r="BF8" s="806"/>
      <c r="BG8" s="806"/>
      <c r="BH8" s="806"/>
      <c r="BI8" s="806"/>
      <c r="BJ8" s="806"/>
      <c r="BK8" s="806"/>
      <c r="BL8" s="806"/>
      <c r="BM8" s="806"/>
      <c r="BN8" s="806"/>
    </row>
    <row r="9" spans="1:66" ht="16" thickBot="1">
      <c r="A9" s="789"/>
      <c r="C9" s="805"/>
      <c r="D9" s="1097"/>
      <c r="E9" s="1091"/>
      <c r="F9" s="769"/>
      <c r="G9" s="769"/>
      <c r="H9" s="769"/>
      <c r="I9" s="769"/>
      <c r="J9" s="769"/>
      <c r="K9" s="769"/>
      <c r="L9" s="769"/>
      <c r="M9" s="769"/>
      <c r="N9" s="769"/>
      <c r="O9" s="769"/>
      <c r="P9" s="769"/>
      <c r="Q9" s="786"/>
      <c r="R9" s="785"/>
      <c r="S9" s="769"/>
      <c r="T9" s="769"/>
      <c r="U9" s="769"/>
      <c r="V9" s="769"/>
      <c r="W9" s="769"/>
      <c r="X9" s="769"/>
      <c r="Y9" s="769"/>
      <c r="Z9" s="783"/>
      <c r="AA9" s="783"/>
      <c r="AB9" s="783"/>
      <c r="AC9" s="783"/>
      <c r="AD9" s="783"/>
      <c r="AE9" s="783"/>
      <c r="AF9" s="783"/>
      <c r="AG9" s="783"/>
      <c r="AH9" s="783"/>
      <c r="AI9" s="783"/>
      <c r="AJ9" s="783"/>
      <c r="AK9" s="783"/>
      <c r="AL9" s="783"/>
      <c r="AM9" s="783"/>
      <c r="AN9" s="783"/>
      <c r="AO9" s="781"/>
      <c r="AP9" s="790"/>
      <c r="AQ9" s="783"/>
      <c r="AR9" s="783"/>
      <c r="AS9" s="783"/>
      <c r="AT9" s="783"/>
      <c r="AU9" s="783"/>
      <c r="AV9" s="783"/>
      <c r="AW9" s="783"/>
      <c r="AX9" s="783"/>
      <c r="AY9" s="783"/>
      <c r="AZ9" s="783"/>
      <c r="BA9" s="781"/>
      <c r="BB9" s="790"/>
      <c r="BC9" s="790"/>
      <c r="BD9" s="790"/>
      <c r="BE9" s="790"/>
      <c r="BF9" s="790"/>
      <c r="BG9" s="790"/>
      <c r="BH9" s="790"/>
      <c r="BI9" s="790"/>
      <c r="BJ9" s="790"/>
      <c r="BK9" s="790"/>
      <c r="BL9" s="790"/>
      <c r="BM9" s="790"/>
      <c r="BN9" s="790"/>
    </row>
    <row r="10" spans="1:66">
      <c r="A10" s="789"/>
      <c r="C10" s="804"/>
      <c r="D10" s="1090"/>
      <c r="E10" s="1091"/>
      <c r="F10" s="769"/>
      <c r="G10" s="769"/>
      <c r="H10" s="769"/>
      <c r="I10" s="769"/>
      <c r="J10" s="769"/>
      <c r="K10" s="769"/>
      <c r="L10" s="769"/>
      <c r="M10" s="769"/>
      <c r="N10" s="769"/>
      <c r="O10" s="769"/>
      <c r="P10" s="769"/>
      <c r="Q10" s="786"/>
      <c r="R10" s="785"/>
      <c r="S10" s="769"/>
      <c r="T10" s="769"/>
      <c r="U10" s="769"/>
      <c r="V10" s="769"/>
      <c r="W10" s="769"/>
      <c r="X10" s="769"/>
      <c r="Y10" s="769"/>
      <c r="Z10" s="769"/>
      <c r="AA10" s="769"/>
      <c r="AB10" s="769"/>
      <c r="AC10" s="769"/>
      <c r="AD10" s="769"/>
      <c r="AE10" s="783"/>
      <c r="AF10" s="783"/>
      <c r="AG10" s="783"/>
      <c r="AH10" s="783"/>
      <c r="AI10" s="783"/>
      <c r="AJ10" s="783"/>
      <c r="AK10" s="783"/>
      <c r="AL10" s="783"/>
      <c r="AM10" s="783"/>
      <c r="AN10" s="783"/>
      <c r="AO10" s="781"/>
      <c r="AP10" s="790"/>
      <c r="AQ10" s="783"/>
      <c r="AR10" s="783"/>
      <c r="AS10" s="783"/>
      <c r="AT10" s="783"/>
      <c r="AU10" s="783"/>
      <c r="AV10" s="783"/>
      <c r="AW10" s="783"/>
      <c r="AX10" s="783"/>
      <c r="AY10" s="783"/>
      <c r="AZ10" s="783"/>
      <c r="BA10" s="781"/>
      <c r="BB10" s="790"/>
      <c r="BC10" s="790"/>
      <c r="BD10" s="790"/>
      <c r="BE10" s="790"/>
      <c r="BF10" s="790"/>
      <c r="BG10" s="790"/>
      <c r="BH10" s="790"/>
      <c r="BI10" s="790"/>
      <c r="BJ10" s="790"/>
      <c r="BK10" s="790"/>
      <c r="BL10" s="790"/>
      <c r="BM10" s="790"/>
      <c r="BN10" s="790"/>
    </row>
    <row r="11" spans="1:66">
      <c r="A11" s="789"/>
      <c r="C11" s="796" t="s">
        <v>799</v>
      </c>
      <c r="D11" s="1090"/>
      <c r="E11" s="1091"/>
      <c r="G11" s="798"/>
      <c r="I11" s="798"/>
      <c r="K11" s="769"/>
      <c r="L11" s="769"/>
      <c r="M11" s="769"/>
      <c r="N11" s="769"/>
      <c r="O11" s="803"/>
      <c r="P11" s="769"/>
      <c r="Q11" s="786"/>
      <c r="R11" s="785"/>
      <c r="S11" s="769"/>
      <c r="T11" s="769"/>
      <c r="U11" s="769"/>
      <c r="V11" s="769"/>
      <c r="W11" s="769"/>
      <c r="X11" s="769"/>
      <c r="Y11" s="769"/>
      <c r="Z11" s="769"/>
      <c r="AA11" s="769"/>
      <c r="AB11" s="769"/>
      <c r="AC11" s="769"/>
      <c r="AD11" s="769"/>
      <c r="AE11" s="769"/>
      <c r="AF11" s="769"/>
      <c r="AG11" s="769"/>
      <c r="AH11" s="783"/>
      <c r="AI11" s="783"/>
      <c r="AJ11" s="783"/>
      <c r="AK11" s="783"/>
      <c r="AL11" s="783"/>
      <c r="AM11" s="783"/>
      <c r="AN11" s="783"/>
      <c r="AO11" s="781"/>
      <c r="AP11" s="790"/>
      <c r="AQ11" s="783"/>
      <c r="AR11" s="783"/>
      <c r="AS11" s="783"/>
      <c r="AT11" s="783"/>
      <c r="AU11" s="783"/>
      <c r="AV11" s="783"/>
      <c r="AW11" s="783"/>
      <c r="AX11" s="783"/>
      <c r="AY11" s="783"/>
      <c r="AZ11" s="783"/>
      <c r="BA11" s="781"/>
      <c r="BB11" s="790"/>
      <c r="BC11" s="790"/>
      <c r="BD11" s="790"/>
      <c r="BE11" s="790"/>
      <c r="BF11" s="790"/>
      <c r="BG11" s="790"/>
      <c r="BH11" s="790"/>
      <c r="BI11" s="790"/>
      <c r="BJ11" s="790"/>
      <c r="BK11" s="790"/>
      <c r="BL11" s="790"/>
      <c r="BM11" s="790"/>
      <c r="BN11" s="790"/>
    </row>
    <row r="12" spans="1:66">
      <c r="A12" s="789"/>
      <c r="C12" s="796" t="s">
        <v>798</v>
      </c>
      <c r="D12" s="1090"/>
      <c r="E12" s="1091"/>
      <c r="F12" s="798"/>
      <c r="G12" s="798"/>
      <c r="H12" s="798"/>
      <c r="I12" s="798"/>
      <c r="J12" s="798"/>
      <c r="K12" s="798"/>
      <c r="L12" s="798"/>
      <c r="M12" s="798"/>
      <c r="N12" s="798"/>
      <c r="O12" s="798"/>
      <c r="P12" s="769"/>
      <c r="Q12" s="786"/>
      <c r="R12" s="785"/>
      <c r="S12" s="769"/>
      <c r="T12" s="769"/>
      <c r="U12" s="769"/>
      <c r="V12" s="769"/>
      <c r="W12" s="769"/>
      <c r="X12" s="769"/>
      <c r="Y12" s="769"/>
      <c r="Z12" s="803"/>
      <c r="AA12" s="769"/>
      <c r="AB12" s="769"/>
      <c r="AC12" s="769"/>
      <c r="AD12" s="769"/>
      <c r="AE12" s="769"/>
      <c r="AF12" s="769"/>
      <c r="AG12" s="769"/>
      <c r="AH12" s="783"/>
      <c r="AI12" s="783"/>
      <c r="AJ12" s="783"/>
      <c r="AK12" s="783"/>
      <c r="AL12" s="783"/>
      <c r="AM12" s="783"/>
      <c r="AN12" s="783"/>
      <c r="AO12" s="781"/>
      <c r="AP12" s="790"/>
      <c r="AQ12" s="783"/>
      <c r="AR12" s="783"/>
      <c r="AS12" s="783"/>
      <c r="AT12" s="783"/>
      <c r="AU12" s="783"/>
      <c r="AV12" s="783"/>
      <c r="AW12" s="783"/>
      <c r="AX12" s="783"/>
      <c r="AY12" s="783"/>
      <c r="AZ12" s="783"/>
      <c r="BA12" s="781"/>
      <c r="BB12" s="790"/>
      <c r="BC12" s="790"/>
      <c r="BD12" s="790"/>
      <c r="BE12" s="790"/>
      <c r="BF12" s="790"/>
      <c r="BG12" s="790"/>
      <c r="BH12" s="790"/>
      <c r="BI12" s="790"/>
      <c r="BJ12" s="790"/>
      <c r="BK12" s="790"/>
      <c r="BL12" s="790"/>
      <c r="BM12" s="790"/>
      <c r="BN12" s="790"/>
    </row>
    <row r="13" spans="1:66">
      <c r="A13" s="789"/>
      <c r="C13" s="796" t="s">
        <v>235</v>
      </c>
      <c r="D13" s="802"/>
      <c r="E13" s="787"/>
      <c r="F13" s="798"/>
      <c r="G13" s="798"/>
      <c r="H13" s="801"/>
      <c r="I13" s="798"/>
      <c r="J13" s="798"/>
      <c r="K13" s="798"/>
      <c r="L13" s="798"/>
      <c r="M13" s="798"/>
      <c r="N13" s="798"/>
      <c r="O13" s="798"/>
      <c r="P13" s="769"/>
      <c r="Q13" s="786"/>
      <c r="R13" s="785"/>
      <c r="S13" s="769"/>
      <c r="T13" s="769"/>
      <c r="U13" s="769"/>
      <c r="V13" s="769"/>
      <c r="W13" s="769"/>
      <c r="X13" s="769"/>
      <c r="Y13" s="769"/>
      <c r="Z13" s="800"/>
      <c r="AA13" s="797"/>
      <c r="AB13" s="797"/>
      <c r="AC13" s="797"/>
      <c r="AD13" s="797"/>
      <c r="AE13" s="797"/>
      <c r="AF13" s="800"/>
      <c r="AG13" s="797"/>
      <c r="AH13" s="797"/>
      <c r="AI13" s="797"/>
      <c r="AJ13" s="797"/>
      <c r="AK13" s="797"/>
      <c r="AL13" s="783"/>
      <c r="AM13" s="783"/>
      <c r="AN13" s="783"/>
      <c r="AO13" s="781"/>
      <c r="AP13" s="790"/>
      <c r="AQ13" s="783"/>
      <c r="AR13" s="783"/>
      <c r="AS13" s="783"/>
      <c r="AT13" s="783"/>
      <c r="AU13" s="783"/>
      <c r="AV13" s="783"/>
      <c r="AW13" s="783"/>
      <c r="AX13" s="783"/>
      <c r="AY13" s="783"/>
      <c r="AZ13" s="783"/>
      <c r="BA13" s="781"/>
      <c r="BB13" s="790"/>
      <c r="BC13" s="790"/>
      <c r="BD13" s="790"/>
      <c r="BE13" s="790"/>
      <c r="BF13" s="790"/>
      <c r="BG13" s="790"/>
      <c r="BH13" s="790"/>
      <c r="BI13" s="790"/>
      <c r="BJ13" s="790"/>
      <c r="BK13" s="790"/>
      <c r="BL13" s="790"/>
      <c r="BM13" s="790"/>
      <c r="BN13" s="790"/>
    </row>
    <row r="14" spans="1:66">
      <c r="A14" s="789"/>
      <c r="C14" s="796" t="s">
        <v>797</v>
      </c>
      <c r="D14" s="788"/>
      <c r="E14" s="787"/>
      <c r="F14" s="798"/>
      <c r="G14" s="798"/>
      <c r="H14" s="798"/>
      <c r="I14" s="798"/>
      <c r="J14" s="798"/>
      <c r="K14" s="798"/>
      <c r="L14" s="798"/>
      <c r="M14" s="798"/>
      <c r="N14" s="798"/>
      <c r="O14" s="769"/>
      <c r="P14" s="769"/>
      <c r="Q14" s="786"/>
      <c r="R14" s="785"/>
      <c r="S14" s="769"/>
      <c r="T14" s="769"/>
      <c r="U14" s="769"/>
      <c r="V14" s="769"/>
      <c r="W14" s="769"/>
      <c r="X14" s="769"/>
      <c r="Y14" s="769"/>
      <c r="Z14" s="769"/>
      <c r="AA14" s="769"/>
      <c r="AB14" s="769"/>
      <c r="AC14" s="769"/>
      <c r="AD14" s="769"/>
      <c r="AE14" s="769"/>
      <c r="AF14" s="797"/>
      <c r="AG14" s="797"/>
      <c r="AH14" s="797"/>
      <c r="AI14" s="797"/>
      <c r="AJ14" s="797"/>
      <c r="AK14" s="792"/>
      <c r="AL14" s="783"/>
      <c r="AM14" s="783"/>
      <c r="AN14" s="783"/>
      <c r="AO14" s="781"/>
      <c r="AP14" s="790"/>
      <c r="AQ14" s="783"/>
      <c r="AR14" s="783"/>
      <c r="AS14" s="783"/>
      <c r="AT14" s="783"/>
      <c r="AU14" s="783"/>
      <c r="AV14" s="783"/>
      <c r="AW14" s="783"/>
      <c r="AX14" s="783"/>
      <c r="AY14" s="783"/>
      <c r="AZ14" s="783"/>
      <c r="BA14" s="781"/>
      <c r="BB14" s="790"/>
      <c r="BC14" s="790"/>
      <c r="BD14" s="790"/>
      <c r="BE14" s="790"/>
      <c r="BF14" s="790"/>
      <c r="BG14" s="790"/>
      <c r="BH14" s="790"/>
      <c r="BI14" s="790"/>
      <c r="BJ14" s="790"/>
      <c r="BK14" s="790"/>
      <c r="BL14" s="790"/>
      <c r="BM14" s="790"/>
      <c r="BN14" s="790"/>
    </row>
    <row r="15" spans="1:66">
      <c r="A15" s="789"/>
      <c r="C15" s="799" t="s">
        <v>796</v>
      </c>
      <c r="D15" s="788"/>
      <c r="E15" s="787"/>
      <c r="F15" s="798"/>
      <c r="G15" s="798"/>
      <c r="H15" s="798"/>
      <c r="I15" s="798"/>
      <c r="J15" s="798"/>
      <c r="K15" s="798"/>
      <c r="L15" s="798"/>
      <c r="M15" s="798"/>
      <c r="N15" s="798"/>
      <c r="O15" s="769"/>
      <c r="P15" s="798"/>
      <c r="Q15" s="786"/>
      <c r="R15" s="785"/>
      <c r="S15" s="769"/>
      <c r="T15" s="769"/>
      <c r="U15" s="769"/>
      <c r="V15" s="769"/>
      <c r="W15" s="769"/>
      <c r="X15" s="769"/>
      <c r="Y15" s="769"/>
      <c r="Z15" s="769"/>
      <c r="AA15" s="769"/>
      <c r="AB15" s="769"/>
      <c r="AC15" s="769"/>
      <c r="AD15" s="769"/>
      <c r="AE15" s="769"/>
      <c r="AF15" s="797"/>
      <c r="AG15" s="797"/>
      <c r="AH15" s="792"/>
      <c r="AI15" s="792"/>
      <c r="AJ15" s="792"/>
      <c r="AK15" s="792"/>
      <c r="AL15" s="783"/>
      <c r="AM15" s="783"/>
      <c r="AN15" s="783"/>
      <c r="AO15" s="781"/>
      <c r="AP15" s="790"/>
      <c r="AQ15" s="783"/>
      <c r="AR15" s="783"/>
      <c r="AS15" s="783"/>
      <c r="AT15" s="783"/>
      <c r="AU15" s="783"/>
      <c r="AV15" s="783"/>
      <c r="AW15" s="783"/>
      <c r="AX15" s="783"/>
      <c r="AY15" s="783"/>
      <c r="AZ15" s="783"/>
      <c r="BA15" s="781"/>
      <c r="BB15" s="790"/>
      <c r="BC15" s="790"/>
      <c r="BD15" s="790"/>
      <c r="BE15" s="790"/>
      <c r="BF15" s="790"/>
      <c r="BG15" s="790"/>
      <c r="BH15" s="790"/>
      <c r="BI15" s="790"/>
      <c r="BJ15" s="790"/>
      <c r="BK15" s="790"/>
      <c r="BL15" s="790"/>
      <c r="BM15" s="790"/>
      <c r="BN15" s="790"/>
    </row>
    <row r="16" spans="1:66">
      <c r="A16" s="789"/>
      <c r="C16" s="796" t="s">
        <v>795</v>
      </c>
      <c r="D16" s="1098"/>
      <c r="E16" s="1099"/>
      <c r="F16" s="793"/>
      <c r="G16" s="793"/>
      <c r="H16" s="793"/>
      <c r="I16" s="793"/>
      <c r="J16" s="795"/>
      <c r="K16" s="795"/>
      <c r="L16" s="795"/>
      <c r="M16" s="795"/>
      <c r="N16" s="795"/>
      <c r="O16" s="793"/>
      <c r="P16" s="795"/>
      <c r="Q16" s="786"/>
      <c r="R16" s="785"/>
      <c r="S16" s="769"/>
      <c r="T16" s="769"/>
      <c r="U16" s="769"/>
      <c r="V16" s="769"/>
      <c r="W16" s="769"/>
      <c r="X16" s="769"/>
      <c r="Y16" s="769"/>
      <c r="Z16" s="794"/>
      <c r="AA16" s="769"/>
      <c r="AB16" s="769"/>
      <c r="AC16" s="769"/>
      <c r="AD16" s="769"/>
      <c r="AE16" s="793"/>
      <c r="AF16" s="793"/>
      <c r="AG16" s="793"/>
      <c r="AJ16" s="792"/>
      <c r="AK16" s="792"/>
      <c r="AL16" s="792"/>
      <c r="AM16" s="792"/>
      <c r="AN16" s="791"/>
      <c r="AO16" s="792"/>
      <c r="AP16" s="792"/>
      <c r="AQ16" s="792"/>
      <c r="AR16" s="783"/>
      <c r="AS16" s="783"/>
      <c r="AT16" s="783"/>
      <c r="AU16" s="783"/>
      <c r="AV16" s="783"/>
      <c r="AW16" s="783"/>
      <c r="AX16" s="783"/>
      <c r="AY16" s="783"/>
      <c r="AZ16" s="783"/>
      <c r="BA16" s="781"/>
      <c r="BB16" s="790"/>
      <c r="BC16" s="790"/>
      <c r="BD16" s="790"/>
      <c r="BE16" s="790"/>
      <c r="BF16" s="790"/>
      <c r="BG16" s="790"/>
      <c r="BH16" s="790"/>
      <c r="BI16" s="790"/>
      <c r="BJ16" s="790"/>
      <c r="BK16" s="790"/>
      <c r="BL16" s="790"/>
      <c r="BM16" s="790"/>
      <c r="BN16" s="790"/>
    </row>
    <row r="17" spans="1:68" ht="16" thickBot="1">
      <c r="A17" s="789"/>
      <c r="C17" s="777" t="s">
        <v>794</v>
      </c>
      <c r="D17" s="788"/>
      <c r="E17" s="787"/>
      <c r="F17" s="769"/>
      <c r="G17" s="769"/>
      <c r="H17" s="769"/>
      <c r="I17" s="769"/>
      <c r="J17" s="769"/>
      <c r="K17" s="769"/>
      <c r="L17" s="769"/>
      <c r="M17" s="769"/>
      <c r="N17" s="769"/>
      <c r="O17" s="769"/>
      <c r="P17" s="769"/>
      <c r="Q17" s="786"/>
      <c r="R17" s="785"/>
      <c r="S17" s="769"/>
      <c r="T17" s="769"/>
      <c r="U17" s="769"/>
      <c r="V17" s="769"/>
      <c r="W17" s="769"/>
      <c r="X17" s="769"/>
      <c r="Y17" s="769"/>
      <c r="Z17" s="769"/>
      <c r="AA17" s="769"/>
      <c r="AB17" s="769"/>
      <c r="AC17" s="769"/>
      <c r="AD17" s="769"/>
      <c r="AE17" s="769"/>
      <c r="AF17" s="769"/>
      <c r="AG17" s="769"/>
      <c r="AH17" s="769"/>
      <c r="AI17" s="769"/>
      <c r="AJ17" s="769"/>
      <c r="AK17" s="769"/>
      <c r="AL17" s="769"/>
      <c r="AM17" s="769"/>
      <c r="AN17" s="769"/>
      <c r="AO17" s="784"/>
      <c r="AQ17" s="783"/>
      <c r="AR17" s="783"/>
      <c r="AS17" s="783"/>
      <c r="AT17" s="783"/>
      <c r="AU17" s="783"/>
      <c r="AV17" s="783"/>
      <c r="AW17" s="783"/>
      <c r="AX17" s="783"/>
      <c r="AY17" s="783"/>
      <c r="AZ17" s="782"/>
      <c r="BA17" s="781"/>
      <c r="BB17" s="780"/>
      <c r="BC17" s="780"/>
      <c r="BD17" s="780"/>
      <c r="BE17" s="780"/>
      <c r="BF17" s="780"/>
      <c r="BG17" s="780"/>
      <c r="BH17" s="780"/>
      <c r="BI17" s="780"/>
      <c r="BJ17" s="780"/>
      <c r="BK17" s="780"/>
      <c r="BL17" s="780"/>
      <c r="BM17" s="780"/>
      <c r="BN17" s="780"/>
    </row>
    <row r="18" spans="1:68" ht="16" thickBot="1">
      <c r="A18" s="767"/>
      <c r="C18" s="779" t="s">
        <v>817</v>
      </c>
      <c r="D18" s="1092">
        <f>'Dwelling Mix'!P90</f>
        <v>302</v>
      </c>
      <c r="E18" s="1092"/>
      <c r="AO18" s="778">
        <v>3</v>
      </c>
      <c r="AP18" s="778">
        <v>3</v>
      </c>
      <c r="AQ18" s="778">
        <v>3</v>
      </c>
      <c r="AR18" s="778">
        <v>3</v>
      </c>
      <c r="AS18" s="778">
        <v>3</v>
      </c>
      <c r="AT18" s="778">
        <v>3</v>
      </c>
      <c r="AU18" s="778">
        <v>3</v>
      </c>
      <c r="BP18" s="754">
        <f>SUM(X18:BO18)</f>
        <v>21</v>
      </c>
    </row>
    <row r="19" spans="1:68" ht="16" thickBot="1">
      <c r="A19" s="767"/>
      <c r="C19" s="779" t="s">
        <v>818</v>
      </c>
      <c r="D19" s="1092">
        <f>'Dwelling Mix'!S90</f>
        <v>143</v>
      </c>
      <c r="E19" s="1092"/>
      <c r="AR19" s="778">
        <v>3</v>
      </c>
      <c r="AS19" s="778">
        <v>3</v>
      </c>
      <c r="AT19" s="778">
        <v>3</v>
      </c>
      <c r="AU19" s="778">
        <v>3</v>
      </c>
      <c r="BP19" s="754">
        <f>SUM(X19:BO19)</f>
        <v>12</v>
      </c>
    </row>
    <row r="20" spans="1:68" ht="16" thickBot="1">
      <c r="A20" s="767"/>
      <c r="C20" s="777" t="s">
        <v>819</v>
      </c>
      <c r="D20" s="1092">
        <f>D18-(SUM(AO18:AU18))</f>
        <v>281</v>
      </c>
      <c r="E20" s="1092"/>
      <c r="AV20" s="776">
        <v>3</v>
      </c>
      <c r="AW20" s="776">
        <v>3</v>
      </c>
      <c r="AX20" s="776">
        <v>3</v>
      </c>
      <c r="AY20" s="776">
        <v>3</v>
      </c>
      <c r="AZ20" s="776">
        <v>3</v>
      </c>
      <c r="BA20" s="776">
        <v>3</v>
      </c>
      <c r="BB20" s="776">
        <f>3*12</f>
        <v>36</v>
      </c>
      <c r="BC20" s="776">
        <f t="shared" ref="BC20:BI21" si="0">3*12</f>
        <v>36</v>
      </c>
      <c r="BD20" s="776">
        <f t="shared" si="0"/>
        <v>36</v>
      </c>
      <c r="BE20" s="776">
        <f t="shared" si="0"/>
        <v>36</v>
      </c>
      <c r="BF20" s="776">
        <f t="shared" si="0"/>
        <v>36</v>
      </c>
      <c r="BG20" s="776">
        <f t="shared" si="0"/>
        <v>36</v>
      </c>
      <c r="BH20" s="776">
        <f t="shared" si="0"/>
        <v>36</v>
      </c>
      <c r="BI20" s="776">
        <f t="shared" si="0"/>
        <v>36</v>
      </c>
      <c r="BJ20" s="776">
        <f>356-BP18-306</f>
        <v>29</v>
      </c>
      <c r="BK20" s="776"/>
      <c r="BL20" s="776"/>
      <c r="BM20" s="776"/>
      <c r="BN20" s="776"/>
      <c r="BP20" s="754">
        <f>SUM(AV20:BO20)</f>
        <v>335</v>
      </c>
    </row>
    <row r="21" spans="1:68" ht="16" thickBot="1">
      <c r="A21" s="767"/>
      <c r="C21" s="777" t="s">
        <v>820</v>
      </c>
      <c r="D21" s="1092">
        <f>D19-(SUM(AO19:AU19))</f>
        <v>131</v>
      </c>
      <c r="E21" s="1092"/>
      <c r="AV21" s="776">
        <v>3</v>
      </c>
      <c r="AW21" s="776">
        <v>3</v>
      </c>
      <c r="AX21" s="776">
        <v>3</v>
      </c>
      <c r="AY21" s="776">
        <v>3</v>
      </c>
      <c r="AZ21" s="776">
        <v>3</v>
      </c>
      <c r="BA21" s="776">
        <v>3</v>
      </c>
      <c r="BB21" s="776">
        <f>3*12</f>
        <v>36</v>
      </c>
      <c r="BC21" s="776">
        <f t="shared" si="0"/>
        <v>36</v>
      </c>
      <c r="BD21" s="776">
        <f t="shared" si="0"/>
        <v>36</v>
      </c>
      <c r="BE21" s="776">
        <v>1</v>
      </c>
      <c r="BF21" s="776"/>
      <c r="BG21" s="776"/>
      <c r="BH21" s="776"/>
      <c r="BI21" s="776"/>
      <c r="BJ21" s="776"/>
      <c r="BK21" s="776"/>
      <c r="BL21" s="776"/>
      <c r="BM21" s="776"/>
      <c r="BN21" s="776"/>
      <c r="BP21" s="754">
        <f>SUM(AV21:BO21)</f>
        <v>127</v>
      </c>
    </row>
    <row r="22" spans="1:68" ht="16" thickBot="1">
      <c r="A22" s="767"/>
      <c r="C22" s="775"/>
      <c r="D22" s="1092"/>
      <c r="E22" s="1092"/>
    </row>
    <row r="23" spans="1:68">
      <c r="A23" s="767"/>
      <c r="F23" s="756"/>
      <c r="G23" s="756"/>
      <c r="J23" s="765"/>
      <c r="K23" s="765"/>
      <c r="L23" s="765"/>
      <c r="M23" s="765"/>
      <c r="N23" s="765"/>
      <c r="O23" s="765"/>
      <c r="BP23" s="754">
        <f>SUM(BP18:BP22)</f>
        <v>495</v>
      </c>
    </row>
    <row r="24" spans="1:68">
      <c r="A24" s="767"/>
      <c r="C24" s="774"/>
      <c r="D24" s="773" t="s">
        <v>793</v>
      </c>
      <c r="E24" s="773" t="s">
        <v>792</v>
      </c>
      <c r="J24" s="765"/>
      <c r="K24" s="765"/>
      <c r="L24" s="765"/>
      <c r="M24" s="765"/>
      <c r="N24" s="765"/>
      <c r="O24" s="766"/>
    </row>
    <row r="25" spans="1:68">
      <c r="A25" s="767"/>
      <c r="C25" s="770" t="s">
        <v>821</v>
      </c>
      <c r="D25" s="772">
        <f>3*12</f>
        <v>36</v>
      </c>
      <c r="E25" s="768">
        <v>0</v>
      </c>
      <c r="J25" s="765"/>
      <c r="K25" s="765"/>
      <c r="L25" s="765"/>
      <c r="M25" s="765"/>
      <c r="N25" s="765"/>
      <c r="O25" s="765"/>
    </row>
    <row r="26" spans="1:68">
      <c r="A26" s="767"/>
      <c r="C26" s="770"/>
      <c r="D26" s="772"/>
      <c r="E26" s="768"/>
      <c r="J26" s="765"/>
      <c r="K26" s="765"/>
      <c r="L26" s="765"/>
      <c r="M26" s="765"/>
      <c r="N26" s="765"/>
      <c r="O26" s="765"/>
    </row>
    <row r="27" spans="1:68">
      <c r="A27" s="767"/>
      <c r="C27" s="770">
        <v>2023</v>
      </c>
      <c r="D27" s="772"/>
      <c r="E27" s="768">
        <f>D27</f>
        <v>0</v>
      </c>
      <c r="J27" s="765"/>
      <c r="K27" s="765"/>
      <c r="L27" s="765"/>
      <c r="M27" s="765"/>
      <c r="N27" s="765"/>
      <c r="O27" s="765"/>
    </row>
    <row r="28" spans="1:68">
      <c r="A28" s="767"/>
      <c r="C28" s="770">
        <v>2024</v>
      </c>
      <c r="D28" s="771">
        <f>SUM(AD18:AO19)</f>
        <v>3</v>
      </c>
      <c r="E28" s="768">
        <f t="shared" ref="E28:E41" si="1">E27+D28</f>
        <v>3</v>
      </c>
      <c r="J28" s="765"/>
      <c r="K28" s="765"/>
      <c r="L28" s="765"/>
      <c r="M28" s="765"/>
      <c r="N28" s="765"/>
      <c r="O28" s="765"/>
    </row>
    <row r="29" spans="1:68">
      <c r="A29" s="767"/>
      <c r="C29" s="770">
        <v>2025</v>
      </c>
      <c r="D29" s="771">
        <f>SUM(AP18:BA21)</f>
        <v>66</v>
      </c>
      <c r="E29" s="768">
        <f t="shared" si="1"/>
        <v>69</v>
      </c>
      <c r="J29" s="765"/>
      <c r="K29" s="765"/>
      <c r="L29" s="765"/>
      <c r="M29" s="765"/>
      <c r="N29" s="765"/>
      <c r="O29" s="765"/>
    </row>
    <row r="30" spans="1:68">
      <c r="A30" s="767"/>
      <c r="C30" s="770">
        <v>2026</v>
      </c>
      <c r="D30" s="771">
        <f>SUM(BB20:BB21)</f>
        <v>72</v>
      </c>
      <c r="E30" s="768">
        <f t="shared" si="1"/>
        <v>141</v>
      </c>
      <c r="J30" s="765"/>
      <c r="K30" s="765"/>
      <c r="L30" s="765"/>
      <c r="M30" s="765"/>
      <c r="N30" s="765"/>
      <c r="O30" s="765"/>
    </row>
    <row r="31" spans="1:68">
      <c r="A31" s="767"/>
      <c r="C31" s="770">
        <v>2027</v>
      </c>
      <c r="D31" s="771">
        <f>BC20+BC21</f>
        <v>72</v>
      </c>
      <c r="E31" s="768">
        <f t="shared" si="1"/>
        <v>213</v>
      </c>
      <c r="J31" s="765"/>
      <c r="K31" s="765"/>
      <c r="L31" s="765"/>
      <c r="M31" s="765"/>
      <c r="N31" s="765"/>
      <c r="O31" s="765"/>
    </row>
    <row r="32" spans="1:68">
      <c r="A32" s="767"/>
      <c r="C32" s="770">
        <v>2028</v>
      </c>
      <c r="D32" s="771">
        <f>BD20+BD21</f>
        <v>72</v>
      </c>
      <c r="E32" s="768">
        <f t="shared" si="1"/>
        <v>285</v>
      </c>
      <c r="J32" s="765"/>
      <c r="K32" s="765"/>
      <c r="L32" s="765"/>
      <c r="M32" s="765"/>
      <c r="N32" s="765"/>
      <c r="O32" s="765"/>
    </row>
    <row r="33" spans="1:39">
      <c r="A33" s="767"/>
      <c r="C33" s="770">
        <v>2029</v>
      </c>
      <c r="D33" s="771">
        <f>BE20+BE21</f>
        <v>37</v>
      </c>
      <c r="E33" s="768">
        <f t="shared" si="1"/>
        <v>322</v>
      </c>
      <c r="J33" s="765"/>
      <c r="K33" s="765"/>
      <c r="L33" s="765"/>
      <c r="M33" s="765"/>
      <c r="N33" s="765"/>
      <c r="O33" s="765"/>
    </row>
    <row r="34" spans="1:39">
      <c r="A34" s="767"/>
      <c r="C34" s="770">
        <v>2030</v>
      </c>
      <c r="D34" s="771">
        <f>BF20</f>
        <v>36</v>
      </c>
      <c r="E34" s="768">
        <f t="shared" si="1"/>
        <v>358</v>
      </c>
      <c r="J34" s="765"/>
      <c r="K34" s="765"/>
      <c r="L34" s="765"/>
      <c r="M34" s="765"/>
      <c r="N34" s="765"/>
      <c r="O34" s="765"/>
    </row>
    <row r="35" spans="1:39">
      <c r="A35" s="767"/>
      <c r="C35" s="770">
        <v>2031</v>
      </c>
      <c r="D35" s="771">
        <f>BG20</f>
        <v>36</v>
      </c>
      <c r="E35" s="768">
        <f t="shared" si="1"/>
        <v>394</v>
      </c>
      <c r="J35" s="765"/>
      <c r="K35" s="765"/>
      <c r="L35" s="765"/>
      <c r="M35" s="765"/>
      <c r="N35" s="765"/>
      <c r="O35" s="765"/>
    </row>
    <row r="36" spans="1:39">
      <c r="A36" s="767"/>
      <c r="C36" s="770">
        <v>2032</v>
      </c>
      <c r="D36" s="771">
        <f>BH20</f>
        <v>36</v>
      </c>
      <c r="E36" s="768">
        <f t="shared" si="1"/>
        <v>430</v>
      </c>
      <c r="J36" s="765"/>
      <c r="K36" s="765"/>
      <c r="L36" s="765"/>
      <c r="M36" s="765"/>
      <c r="N36" s="765"/>
      <c r="O36" s="765"/>
    </row>
    <row r="37" spans="1:39">
      <c r="A37" s="767"/>
      <c r="C37" s="770">
        <v>2033</v>
      </c>
      <c r="D37" s="769">
        <f>BI20</f>
        <v>36</v>
      </c>
      <c r="E37" s="768">
        <f t="shared" si="1"/>
        <v>466</v>
      </c>
    </row>
    <row r="38" spans="1:39">
      <c r="A38" s="767"/>
      <c r="C38" s="770">
        <v>2034</v>
      </c>
      <c r="D38" s="771">
        <f>BJ20</f>
        <v>29</v>
      </c>
      <c r="E38" s="768">
        <f t="shared" si="1"/>
        <v>495</v>
      </c>
    </row>
    <row r="39" spans="1:39">
      <c r="A39" s="767"/>
      <c r="C39" s="770">
        <v>2035</v>
      </c>
      <c r="D39" s="769"/>
      <c r="E39" s="768">
        <f t="shared" si="1"/>
        <v>495</v>
      </c>
    </row>
    <row r="40" spans="1:39">
      <c r="A40" s="767"/>
      <c r="C40" s="770">
        <v>2036</v>
      </c>
      <c r="D40" s="769"/>
      <c r="E40" s="768">
        <f t="shared" si="1"/>
        <v>495</v>
      </c>
    </row>
    <row r="41" spans="1:39">
      <c r="A41" s="767"/>
      <c r="C41" s="770">
        <v>2037</v>
      </c>
      <c r="D41" s="769"/>
      <c r="E41" s="768">
        <f t="shared" si="1"/>
        <v>495</v>
      </c>
    </row>
    <row r="42" spans="1:39">
      <c r="A42" s="767"/>
      <c r="C42" s="1093"/>
      <c r="D42" s="1094"/>
      <c r="E42" s="1094"/>
      <c r="V42" s="765"/>
      <c r="W42" s="765"/>
      <c r="X42" s="765"/>
      <c r="Y42" s="766"/>
      <c r="Z42" s="766"/>
      <c r="AA42" s="766"/>
      <c r="AB42" s="766"/>
      <c r="AC42" s="766"/>
      <c r="AD42" s="766"/>
      <c r="AE42" s="766"/>
      <c r="AF42" s="766"/>
      <c r="AG42" s="766"/>
      <c r="AH42" s="766"/>
      <c r="AI42" s="766"/>
      <c r="AJ42" s="766"/>
      <c r="AK42" s="766"/>
      <c r="AL42" s="766"/>
      <c r="AM42" s="765"/>
    </row>
    <row r="43" spans="1:39">
      <c r="C43" s="756"/>
      <c r="D43" s="1082"/>
      <c r="E43" s="1082"/>
      <c r="G43" s="756"/>
      <c r="V43" s="765"/>
      <c r="W43" s="765"/>
      <c r="X43" s="765"/>
      <c r="Y43" s="765"/>
      <c r="Z43" s="765"/>
      <c r="AA43" s="765"/>
      <c r="AB43" s="765"/>
      <c r="AC43" s="765"/>
      <c r="AD43" s="765"/>
      <c r="AE43" s="765"/>
      <c r="AF43" s="765"/>
      <c r="AG43" s="765"/>
      <c r="AH43" s="765"/>
      <c r="AI43" s="765"/>
      <c r="AJ43" s="765"/>
      <c r="AK43" s="765"/>
      <c r="AL43" s="765"/>
      <c r="AM43" s="765"/>
    </row>
    <row r="44" spans="1:39">
      <c r="D44" s="1087"/>
      <c r="E44" s="1088"/>
      <c r="V44" s="765"/>
      <c r="W44" s="765"/>
      <c r="X44" s="765"/>
      <c r="Y44" s="765"/>
      <c r="Z44" s="765"/>
      <c r="AA44" s="765"/>
      <c r="AB44" s="765"/>
      <c r="AC44" s="765"/>
      <c r="AD44" s="765"/>
      <c r="AE44" s="765"/>
      <c r="AF44" s="765"/>
      <c r="AG44" s="765"/>
      <c r="AH44" s="765"/>
      <c r="AI44" s="765"/>
      <c r="AJ44" s="765"/>
      <c r="AK44" s="765"/>
      <c r="AL44" s="765"/>
      <c r="AM44" s="765"/>
    </row>
    <row r="45" spans="1:39" ht="16">
      <c r="C45" s="764" t="s">
        <v>791</v>
      </c>
      <c r="D45" s="763">
        <v>44682</v>
      </c>
      <c r="E45" s="762">
        <f>E32</f>
        <v>285</v>
      </c>
      <c r="F45" s="761">
        <v>4500</v>
      </c>
      <c r="G45" s="760"/>
      <c r="H45" s="759">
        <f>E45*F45</f>
        <v>1282500</v>
      </c>
      <c r="J45" s="758">
        <v>4.8914349353338951</v>
      </c>
      <c r="V45" s="765"/>
      <c r="W45" s="765"/>
      <c r="X45" s="765"/>
      <c r="Y45" s="765"/>
      <c r="Z45" s="765"/>
      <c r="AA45" s="765"/>
      <c r="AB45" s="765"/>
      <c r="AC45" s="765"/>
      <c r="AD45" s="765"/>
      <c r="AE45" s="765"/>
      <c r="AF45" s="765"/>
      <c r="AG45" s="765"/>
      <c r="AH45" s="765"/>
      <c r="AI45" s="765"/>
      <c r="AJ45" s="765"/>
      <c r="AK45" s="765"/>
      <c r="AL45" s="765"/>
      <c r="AM45" s="765"/>
    </row>
    <row r="46" spans="1:39" ht="16">
      <c r="C46" s="764" t="s">
        <v>790</v>
      </c>
      <c r="D46" s="763">
        <v>45778</v>
      </c>
      <c r="E46" s="762">
        <f>D21</f>
        <v>131</v>
      </c>
      <c r="F46" s="761">
        <v>5500</v>
      </c>
      <c r="G46" s="760"/>
      <c r="H46" s="759">
        <f>E46*F46</f>
        <v>720500</v>
      </c>
      <c r="J46" s="758">
        <v>2.6640680719927685</v>
      </c>
    </row>
    <row r="47" spans="1:39">
      <c r="E47" s="757"/>
    </row>
    <row r="49" spans="3:5">
      <c r="C49" s="1093"/>
      <c r="D49" s="1094"/>
      <c r="E49" s="1094"/>
    </row>
    <row r="50" spans="3:5">
      <c r="C50" s="756"/>
      <c r="D50" s="756"/>
    </row>
    <row r="51" spans="3:5">
      <c r="C51" s="755"/>
    </row>
  </sheetData>
  <mergeCells count="22">
    <mergeCell ref="C49:E49"/>
    <mergeCell ref="D8:E8"/>
    <mergeCell ref="D9:E9"/>
    <mergeCell ref="D16:E16"/>
    <mergeCell ref="D10:E10"/>
    <mergeCell ref="D11:E11"/>
    <mergeCell ref="D19:E19"/>
    <mergeCell ref="C42:E42"/>
    <mergeCell ref="D21:E21"/>
    <mergeCell ref="D22:E22"/>
    <mergeCell ref="AP6:BA6"/>
    <mergeCell ref="AD6:AO6"/>
    <mergeCell ref="D44:E44"/>
    <mergeCell ref="R6:AC6"/>
    <mergeCell ref="D12:E12"/>
    <mergeCell ref="D18:E18"/>
    <mergeCell ref="D20:E20"/>
    <mergeCell ref="C2:P3"/>
    <mergeCell ref="C6:C7"/>
    <mergeCell ref="D6:E7"/>
    <mergeCell ref="F6:Q6"/>
    <mergeCell ref="D43:E43"/>
  </mergeCells>
  <pageMargins left="0.7" right="0.7" top="0.75" bottom="0.75" header="0.3" footer="0.3"/>
  <pageSetup paperSize="8" scale="5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E7428-EBF6-E04D-90D9-D3B3518037A6}">
  <dimension ref="A1:I76"/>
  <sheetViews>
    <sheetView topLeftCell="A3" workbookViewId="0">
      <selection activeCell="A55" sqref="A55:I71"/>
    </sheetView>
  </sheetViews>
  <sheetFormatPr baseColWidth="10" defaultColWidth="8.83203125" defaultRowHeight="15"/>
  <cols>
    <col min="1" max="9" width="15.6640625" customWidth="1"/>
  </cols>
  <sheetData>
    <row r="1" spans="1:9" ht="21" thickTop="1">
      <c r="A1" s="1112" t="s">
        <v>1051</v>
      </c>
      <c r="B1" s="1113"/>
      <c r="C1" s="1113"/>
      <c r="D1" s="1113"/>
      <c r="E1" s="1113"/>
      <c r="F1" s="1113"/>
      <c r="G1" s="1113"/>
      <c r="H1" s="1113"/>
      <c r="I1" s="1114"/>
    </row>
    <row r="2" spans="1:9" ht="20">
      <c r="A2" s="1115" t="s">
        <v>1050</v>
      </c>
      <c r="B2" s="1116"/>
      <c r="C2" s="1116"/>
      <c r="D2" s="1116"/>
      <c r="E2" s="1116"/>
      <c r="F2" s="1116"/>
      <c r="G2" s="1116"/>
      <c r="H2" s="1116"/>
      <c r="I2" s="1117"/>
    </row>
    <row r="3" spans="1:9" ht="16">
      <c r="A3" s="1118" t="s">
        <v>1049</v>
      </c>
      <c r="B3" s="1119"/>
      <c r="C3" s="1119"/>
      <c r="D3" s="1119"/>
      <c r="E3" s="1119"/>
      <c r="F3" s="1119"/>
      <c r="G3" s="1119"/>
      <c r="H3" s="1119"/>
      <c r="I3" s="1120"/>
    </row>
    <row r="4" spans="1:9" ht="17" thickBot="1">
      <c r="A4" s="1121" t="s">
        <v>1048</v>
      </c>
      <c r="B4" s="1122"/>
      <c r="C4" s="1122"/>
      <c r="D4" s="1122"/>
      <c r="E4" s="1122"/>
      <c r="F4" s="1122"/>
      <c r="G4" s="1122"/>
      <c r="H4" s="1122"/>
      <c r="I4" s="1123"/>
    </row>
    <row r="5" spans="1:9" ht="18" thickTop="1" thickBot="1">
      <c r="A5" s="893"/>
      <c r="B5" s="893" t="s">
        <v>1047</v>
      </c>
      <c r="C5" s="893"/>
      <c r="D5" s="893"/>
      <c r="E5" s="893"/>
      <c r="F5" s="893"/>
      <c r="G5" s="893"/>
      <c r="H5" s="893"/>
      <c r="I5" s="893"/>
    </row>
    <row r="6" spans="1:9" ht="17" thickTop="1">
      <c r="A6" s="1100" t="s">
        <v>1046</v>
      </c>
      <c r="B6" s="1101"/>
      <c r="C6" s="1101"/>
      <c r="D6" s="1101"/>
      <c r="E6" s="1101"/>
      <c r="F6" s="1101"/>
      <c r="G6" s="1101"/>
      <c r="H6" s="1101"/>
      <c r="I6" s="1102"/>
    </row>
    <row r="7" spans="1:9" ht="16">
      <c r="A7" s="948" t="s">
        <v>1041</v>
      </c>
      <c r="B7" s="933"/>
      <c r="C7" s="933" t="s">
        <v>1045</v>
      </c>
      <c r="D7" s="936" t="s">
        <v>238</v>
      </c>
      <c r="E7" s="936" t="s">
        <v>1040</v>
      </c>
      <c r="F7" s="936" t="s">
        <v>1039</v>
      </c>
      <c r="G7" s="936" t="s">
        <v>1044</v>
      </c>
      <c r="H7" s="936" t="s">
        <v>239</v>
      </c>
      <c r="I7" s="935" t="s">
        <v>1037</v>
      </c>
    </row>
    <row r="8" spans="1:9" ht="16">
      <c r="A8" s="892" t="s">
        <v>950</v>
      </c>
      <c r="B8" s="893"/>
      <c r="C8" s="893" t="s">
        <v>969</v>
      </c>
      <c r="D8" s="893">
        <v>2</v>
      </c>
      <c r="E8" s="893">
        <v>2</v>
      </c>
      <c r="F8" s="893">
        <v>8</v>
      </c>
      <c r="G8" s="893">
        <v>71.3</v>
      </c>
      <c r="H8" s="893">
        <v>768</v>
      </c>
      <c r="I8" s="947">
        <f t="shared" ref="I8:I26" si="0">F8*H8</f>
        <v>6144</v>
      </c>
    </row>
    <row r="9" spans="1:9" ht="16">
      <c r="A9" s="892" t="s">
        <v>951</v>
      </c>
      <c r="B9" s="893"/>
      <c r="C9" s="893" t="s">
        <v>970</v>
      </c>
      <c r="D9" s="893">
        <v>2</v>
      </c>
      <c r="E9" s="893">
        <v>2</v>
      </c>
      <c r="F9" s="893">
        <v>4</v>
      </c>
      <c r="G9" s="893">
        <v>71.3</v>
      </c>
      <c r="H9" s="893">
        <v>768</v>
      </c>
      <c r="I9" s="947">
        <f t="shared" si="0"/>
        <v>3072</v>
      </c>
    </row>
    <row r="10" spans="1:9" ht="16">
      <c r="A10" s="892" t="s">
        <v>952</v>
      </c>
      <c r="B10" s="893"/>
      <c r="C10" s="893" t="s">
        <v>971</v>
      </c>
      <c r="D10" s="893">
        <v>2</v>
      </c>
      <c r="E10" s="893">
        <v>2</v>
      </c>
      <c r="F10" s="893">
        <v>4</v>
      </c>
      <c r="G10" s="893">
        <v>80.5</v>
      </c>
      <c r="H10" s="893">
        <v>866</v>
      </c>
      <c r="I10" s="947">
        <f t="shared" si="0"/>
        <v>3464</v>
      </c>
    </row>
    <row r="11" spans="1:9" ht="16">
      <c r="A11" s="892" t="s">
        <v>953</v>
      </c>
      <c r="B11" s="893"/>
      <c r="C11" s="893" t="s">
        <v>972</v>
      </c>
      <c r="D11" s="893">
        <v>2</v>
      </c>
      <c r="E11" s="894">
        <v>2</v>
      </c>
      <c r="F11" s="893">
        <v>2</v>
      </c>
      <c r="G11" s="893">
        <v>80.5</v>
      </c>
      <c r="H11" s="893">
        <v>866</v>
      </c>
      <c r="I11" s="947">
        <f t="shared" si="0"/>
        <v>1732</v>
      </c>
    </row>
    <row r="12" spans="1:9" ht="16">
      <c r="A12" s="892" t="s">
        <v>954</v>
      </c>
      <c r="B12" s="893"/>
      <c r="C12" s="893" t="s">
        <v>973</v>
      </c>
      <c r="D12" s="893">
        <v>3</v>
      </c>
      <c r="E12" s="893">
        <v>2</v>
      </c>
      <c r="F12" s="893">
        <v>6</v>
      </c>
      <c r="G12" s="893">
        <v>95.2</v>
      </c>
      <c r="H12" s="893">
        <v>1025</v>
      </c>
      <c r="I12" s="947">
        <f t="shared" si="0"/>
        <v>6150</v>
      </c>
    </row>
    <row r="13" spans="1:9" ht="16">
      <c r="A13" s="892" t="s">
        <v>955</v>
      </c>
      <c r="B13" s="893"/>
      <c r="C13" s="893" t="s">
        <v>974</v>
      </c>
      <c r="D13" s="893">
        <v>3</v>
      </c>
      <c r="E13" s="893">
        <v>2</v>
      </c>
      <c r="F13" s="893">
        <v>2</v>
      </c>
      <c r="G13" s="893">
        <v>95.2</v>
      </c>
      <c r="H13" s="893">
        <v>1025</v>
      </c>
      <c r="I13" s="947">
        <f t="shared" si="0"/>
        <v>2050</v>
      </c>
    </row>
    <row r="14" spans="1:9" ht="16">
      <c r="A14" s="892" t="s">
        <v>956</v>
      </c>
      <c r="B14" s="893"/>
      <c r="C14" s="893" t="s">
        <v>975</v>
      </c>
      <c r="D14" s="893">
        <v>3</v>
      </c>
      <c r="E14" s="893">
        <v>2</v>
      </c>
      <c r="F14" s="893">
        <v>31</v>
      </c>
      <c r="G14" s="893">
        <v>89.7</v>
      </c>
      <c r="H14" s="893">
        <v>966</v>
      </c>
      <c r="I14" s="947">
        <f t="shared" si="0"/>
        <v>29946</v>
      </c>
    </row>
    <row r="15" spans="1:9" ht="16">
      <c r="A15" s="892" t="s">
        <v>957</v>
      </c>
      <c r="B15" s="893"/>
      <c r="C15" s="893" t="s">
        <v>976</v>
      </c>
      <c r="D15" s="893">
        <v>3</v>
      </c>
      <c r="E15" s="893">
        <v>2</v>
      </c>
      <c r="F15" s="893">
        <v>3</v>
      </c>
      <c r="G15" s="893">
        <v>89.7</v>
      </c>
      <c r="H15" s="893">
        <v>966</v>
      </c>
      <c r="I15" s="947">
        <f t="shared" si="0"/>
        <v>2898</v>
      </c>
    </row>
    <row r="16" spans="1:9" ht="16">
      <c r="A16" s="892" t="s">
        <v>958</v>
      </c>
      <c r="B16" s="893"/>
      <c r="C16" s="893" t="s">
        <v>977</v>
      </c>
      <c r="D16" s="893">
        <v>3</v>
      </c>
      <c r="E16" s="893">
        <v>2</v>
      </c>
      <c r="F16" s="893">
        <v>9</v>
      </c>
      <c r="G16" s="893">
        <v>103.7</v>
      </c>
      <c r="H16" s="893">
        <v>1116</v>
      </c>
      <c r="I16" s="947">
        <f t="shared" si="0"/>
        <v>10044</v>
      </c>
    </row>
    <row r="17" spans="1:9" ht="16">
      <c r="A17" s="892" t="s">
        <v>959</v>
      </c>
      <c r="B17" s="893"/>
      <c r="C17" s="893" t="s">
        <v>978</v>
      </c>
      <c r="D17" s="895">
        <v>3</v>
      </c>
      <c r="E17" s="893">
        <v>2</v>
      </c>
      <c r="F17" s="893">
        <v>3</v>
      </c>
      <c r="G17" s="893">
        <v>103.7</v>
      </c>
      <c r="H17" s="893">
        <v>1116</v>
      </c>
      <c r="I17" s="947">
        <f t="shared" si="0"/>
        <v>3348</v>
      </c>
    </row>
    <row r="18" spans="1:9" ht="16">
      <c r="A18" s="892" t="s">
        <v>960</v>
      </c>
      <c r="B18" s="893"/>
      <c r="C18" s="893" t="s">
        <v>979</v>
      </c>
      <c r="D18" s="895">
        <f>VALUE([23]Summary!$B$2)</f>
        <v>3</v>
      </c>
      <c r="E18" s="893">
        <v>2.5</v>
      </c>
      <c r="F18" s="893">
        <v>10</v>
      </c>
      <c r="G18" s="893">
        <v>104.7</v>
      </c>
      <c r="H18" s="893">
        <v>1127</v>
      </c>
      <c r="I18" s="947">
        <f t="shared" si="0"/>
        <v>11270</v>
      </c>
    </row>
    <row r="19" spans="1:9" ht="16">
      <c r="A19" s="892" t="s">
        <v>961</v>
      </c>
      <c r="B19" s="893" t="s">
        <v>920</v>
      </c>
      <c r="C19" s="893" t="s">
        <v>980</v>
      </c>
      <c r="D19" s="895">
        <v>4</v>
      </c>
      <c r="E19" s="893">
        <v>2</v>
      </c>
      <c r="F19" s="893">
        <v>8</v>
      </c>
      <c r="G19" s="893">
        <v>108</v>
      </c>
      <c r="H19" s="893">
        <v>1163</v>
      </c>
      <c r="I19" s="947">
        <f t="shared" si="0"/>
        <v>9304</v>
      </c>
    </row>
    <row r="20" spans="1:9" ht="16">
      <c r="A20" s="892" t="s">
        <v>962</v>
      </c>
      <c r="B20" s="893" t="s">
        <v>988</v>
      </c>
      <c r="C20" s="893" t="s">
        <v>981</v>
      </c>
      <c r="D20" s="895">
        <v>4</v>
      </c>
      <c r="E20" s="893">
        <v>2</v>
      </c>
      <c r="F20" s="893">
        <v>5</v>
      </c>
      <c r="G20" s="893">
        <v>118.5</v>
      </c>
      <c r="H20" s="893">
        <v>1275</v>
      </c>
      <c r="I20" s="947">
        <f t="shared" si="0"/>
        <v>6375</v>
      </c>
    </row>
    <row r="21" spans="1:9" ht="16">
      <c r="A21" s="892" t="s">
        <v>963</v>
      </c>
      <c r="B21" s="893"/>
      <c r="C21" s="893" t="s">
        <v>982</v>
      </c>
      <c r="D21" s="895">
        <v>4</v>
      </c>
      <c r="E21" s="893">
        <v>2</v>
      </c>
      <c r="F21" s="893">
        <v>8</v>
      </c>
      <c r="G21" s="893">
        <v>124.3</v>
      </c>
      <c r="H21" s="893">
        <v>1338</v>
      </c>
      <c r="I21" s="947">
        <f t="shared" si="0"/>
        <v>10704</v>
      </c>
    </row>
    <row r="22" spans="1:9" ht="16">
      <c r="A22" s="892" t="s">
        <v>964</v>
      </c>
      <c r="B22" s="893" t="s">
        <v>920</v>
      </c>
      <c r="C22" s="893" t="s">
        <v>983</v>
      </c>
      <c r="D22" s="895">
        <v>4</v>
      </c>
      <c r="E22" s="893">
        <v>2</v>
      </c>
      <c r="F22" s="893">
        <v>11</v>
      </c>
      <c r="G22" s="893">
        <v>125.8</v>
      </c>
      <c r="H22" s="893">
        <v>1354</v>
      </c>
      <c r="I22" s="947">
        <f t="shared" si="0"/>
        <v>14894</v>
      </c>
    </row>
    <row r="23" spans="1:9" ht="16">
      <c r="A23" s="892" t="s">
        <v>965</v>
      </c>
      <c r="B23" s="893" t="s">
        <v>920</v>
      </c>
      <c r="C23" s="893" t="s">
        <v>984</v>
      </c>
      <c r="D23" s="895">
        <v>4</v>
      </c>
      <c r="E23" s="893">
        <v>2</v>
      </c>
      <c r="F23" s="893">
        <v>6</v>
      </c>
      <c r="G23" s="893">
        <v>133.19999999999999</v>
      </c>
      <c r="H23" s="893">
        <v>1434</v>
      </c>
      <c r="I23" s="947">
        <f t="shared" si="0"/>
        <v>8604</v>
      </c>
    </row>
    <row r="24" spans="1:9" ht="16">
      <c r="A24" s="892" t="s">
        <v>966</v>
      </c>
      <c r="B24" s="893"/>
      <c r="C24" s="893" t="s">
        <v>985</v>
      </c>
      <c r="D24" s="895">
        <v>4</v>
      </c>
      <c r="E24" s="893">
        <v>2</v>
      </c>
      <c r="F24" s="893">
        <v>6</v>
      </c>
      <c r="G24" s="893">
        <v>134.19999999999999</v>
      </c>
      <c r="H24" s="893">
        <v>1444</v>
      </c>
      <c r="I24" s="947">
        <f t="shared" si="0"/>
        <v>8664</v>
      </c>
    </row>
    <row r="25" spans="1:9" ht="16">
      <c r="A25" s="892" t="s">
        <v>967</v>
      </c>
      <c r="B25" s="893" t="s">
        <v>920</v>
      </c>
      <c r="C25" s="893" t="s">
        <v>986</v>
      </c>
      <c r="D25" s="895">
        <v>4</v>
      </c>
      <c r="E25" s="893">
        <v>2</v>
      </c>
      <c r="F25" s="893">
        <v>10</v>
      </c>
      <c r="G25" s="893">
        <v>138.30000000000001</v>
      </c>
      <c r="H25" s="893">
        <v>1489</v>
      </c>
      <c r="I25" s="947">
        <f t="shared" si="0"/>
        <v>14890</v>
      </c>
    </row>
    <row r="26" spans="1:9" ht="16">
      <c r="A26" s="892" t="s">
        <v>968</v>
      </c>
      <c r="B26" s="893" t="s">
        <v>920</v>
      </c>
      <c r="C26" s="893" t="s">
        <v>987</v>
      </c>
      <c r="D26" s="895">
        <v>5</v>
      </c>
      <c r="E26" s="893">
        <v>2</v>
      </c>
      <c r="F26" s="893">
        <v>7</v>
      </c>
      <c r="G26" s="893">
        <v>141.69999999999999</v>
      </c>
      <c r="H26" s="893">
        <v>1525</v>
      </c>
      <c r="I26" s="947">
        <f t="shared" si="0"/>
        <v>10675</v>
      </c>
    </row>
    <row r="27" spans="1:9" ht="16">
      <c r="A27" s="892"/>
      <c r="B27" s="893"/>
      <c r="C27" s="893"/>
      <c r="D27" s="895"/>
      <c r="E27" s="893"/>
      <c r="F27" s="893"/>
      <c r="G27" s="893"/>
      <c r="H27" s="893"/>
      <c r="I27" s="947"/>
    </row>
    <row r="28" spans="1:9" ht="17" thickBot="1">
      <c r="A28" s="946"/>
      <c r="B28" s="945"/>
      <c r="C28" s="945"/>
      <c r="D28" s="949"/>
      <c r="E28" s="945"/>
      <c r="F28" s="945"/>
      <c r="G28" s="945"/>
      <c r="H28" s="945"/>
      <c r="I28" s="944"/>
    </row>
    <row r="29" spans="1:9" ht="18" thickTop="1" thickBot="1">
      <c r="A29" s="893"/>
      <c r="B29" s="893"/>
      <c r="C29" s="893"/>
      <c r="D29" s="893"/>
      <c r="E29" s="893"/>
      <c r="F29" s="893"/>
      <c r="G29" s="893"/>
      <c r="H29" s="893"/>
      <c r="I29" s="893"/>
    </row>
    <row r="30" spans="1:9" ht="17" thickTop="1">
      <c r="A30" s="1109" t="s">
        <v>1043</v>
      </c>
      <c r="B30" s="1110"/>
      <c r="C30" s="1110"/>
      <c r="D30" s="1110"/>
      <c r="E30" s="1110"/>
      <c r="F30" s="1110"/>
      <c r="G30" s="1110"/>
      <c r="H30" s="1110"/>
      <c r="I30" s="1111"/>
    </row>
    <row r="31" spans="1:9" ht="16">
      <c r="A31" s="1103" t="s">
        <v>1026</v>
      </c>
      <c r="B31" s="1104"/>
      <c r="C31" s="1104"/>
      <c r="D31" s="1104"/>
      <c r="E31" s="1106"/>
      <c r="F31" s="932"/>
      <c r="G31" s="932"/>
      <c r="H31" s="932"/>
      <c r="I31" s="931"/>
    </row>
    <row r="32" spans="1:9" ht="16">
      <c r="A32" s="929" t="s">
        <v>1025</v>
      </c>
      <c r="B32" s="928"/>
      <c r="C32" s="928"/>
      <c r="D32" s="928">
        <f>K7</f>
        <v>0</v>
      </c>
      <c r="E32" s="930">
        <f>D32/I32</f>
        <v>0</v>
      </c>
      <c r="F32" s="912" t="s">
        <v>1024</v>
      </c>
      <c r="G32" s="912"/>
      <c r="H32" s="912"/>
      <c r="I32" s="915">
        <f>SUM(F8:F28)</f>
        <v>143</v>
      </c>
    </row>
    <row r="33" spans="1:9" ht="16">
      <c r="A33" s="929" t="s">
        <v>1023</v>
      </c>
      <c r="B33" s="928"/>
      <c r="C33" s="928"/>
      <c r="D33" s="928">
        <f>L7</f>
        <v>0</v>
      </c>
      <c r="E33" s="927">
        <f>D33/I32</f>
        <v>0</v>
      </c>
      <c r="F33" s="1107" t="s">
        <v>1042</v>
      </c>
      <c r="G33" s="1108"/>
      <c r="H33" s="1108"/>
      <c r="I33" s="943">
        <f>I32/I61</f>
        <v>1</v>
      </c>
    </row>
    <row r="34" spans="1:9" ht="16">
      <c r="A34" s="929" t="s">
        <v>1022</v>
      </c>
      <c r="B34" s="928"/>
      <c r="C34" s="928"/>
      <c r="D34" s="928">
        <f>M7</f>
        <v>0</v>
      </c>
      <c r="E34" s="927">
        <f>D34/I32</f>
        <v>0</v>
      </c>
      <c r="F34" s="913" t="s">
        <v>1021</v>
      </c>
      <c r="G34" s="913"/>
      <c r="H34" s="913"/>
      <c r="I34" s="915">
        <f>SUM(I8:I28)</f>
        <v>164228</v>
      </c>
    </row>
    <row r="35" spans="1:9" ht="16">
      <c r="A35" s="929" t="s">
        <v>1020</v>
      </c>
      <c r="B35" s="928"/>
      <c r="C35" s="928"/>
      <c r="D35" s="912">
        <f>N7</f>
        <v>0</v>
      </c>
      <c r="E35" s="927">
        <f>D35/I32</f>
        <v>0</v>
      </c>
      <c r="F35" s="912"/>
      <c r="G35" s="912"/>
      <c r="H35" s="912"/>
      <c r="I35" s="926"/>
    </row>
    <row r="36" spans="1:9" ht="17" thickBot="1">
      <c r="A36" s="942" t="s">
        <v>1019</v>
      </c>
      <c r="B36" s="941"/>
      <c r="C36" s="941"/>
      <c r="D36" s="908">
        <f>O7</f>
        <v>0</v>
      </c>
      <c r="E36" s="940">
        <f>D36/I32</f>
        <v>0</v>
      </c>
      <c r="F36" s="908"/>
      <c r="G36" s="908"/>
      <c r="H36" s="908"/>
      <c r="I36" s="939"/>
    </row>
    <row r="37" spans="1:9" ht="18" thickTop="1" thickBot="1">
      <c r="A37" s="893"/>
      <c r="B37" s="893"/>
      <c r="C37" s="893"/>
      <c r="D37" s="893"/>
      <c r="E37" s="893"/>
      <c r="F37" s="893"/>
      <c r="G37" s="893"/>
      <c r="H37" s="893"/>
      <c r="I37" s="893"/>
    </row>
    <row r="38" spans="1:9" ht="17" thickTop="1">
      <c r="A38" s="1100" t="s">
        <v>248</v>
      </c>
      <c r="B38" s="1101"/>
      <c r="C38" s="1101"/>
      <c r="D38" s="1101"/>
      <c r="E38" s="1101"/>
      <c r="F38" s="1101"/>
      <c r="G38" s="1101"/>
      <c r="H38" s="1101"/>
      <c r="I38" s="1102"/>
    </row>
    <row r="39" spans="1:9" ht="16">
      <c r="A39" s="948" t="s">
        <v>1041</v>
      </c>
      <c r="B39" s="933"/>
      <c r="C39" s="933"/>
      <c r="D39" s="936" t="s">
        <v>238</v>
      </c>
      <c r="E39" s="936" t="s">
        <v>1040</v>
      </c>
      <c r="F39" s="936" t="s">
        <v>1039</v>
      </c>
      <c r="G39" s="936" t="s">
        <v>1038</v>
      </c>
      <c r="H39" s="936" t="s">
        <v>239</v>
      </c>
      <c r="I39" s="935" t="s">
        <v>1037</v>
      </c>
    </row>
    <row r="40" spans="1:9" ht="16">
      <c r="A40" s="892" t="s">
        <v>952</v>
      </c>
      <c r="B40" s="893"/>
      <c r="C40" s="893" t="s">
        <v>971</v>
      </c>
      <c r="D40" s="893">
        <v>2</v>
      </c>
      <c r="E40" s="893">
        <v>2</v>
      </c>
      <c r="F40" s="893">
        <v>4</v>
      </c>
      <c r="G40" s="893">
        <v>80.5</v>
      </c>
      <c r="H40" s="893">
        <v>866</v>
      </c>
      <c r="I40" s="947">
        <f>F40*H40</f>
        <v>3464</v>
      </c>
    </row>
    <row r="41" spans="1:9" ht="16">
      <c r="A41" s="892" t="s">
        <v>953</v>
      </c>
      <c r="B41" s="893"/>
      <c r="C41" s="893" t="s">
        <v>972</v>
      </c>
      <c r="D41" s="893">
        <v>2</v>
      </c>
      <c r="E41" s="894">
        <v>2</v>
      </c>
      <c r="F41" s="893">
        <v>2</v>
      </c>
      <c r="G41" s="893">
        <v>80.5</v>
      </c>
      <c r="H41" s="893">
        <v>866</v>
      </c>
      <c r="I41" s="947">
        <f>F41*H41</f>
        <v>1732</v>
      </c>
    </row>
    <row r="42" spans="1:9" ht="16">
      <c r="A42" s="892" t="s">
        <v>954</v>
      </c>
      <c r="B42" s="893"/>
      <c r="C42" s="893" t="s">
        <v>973</v>
      </c>
      <c r="D42" s="893">
        <v>3</v>
      </c>
      <c r="E42" s="893">
        <v>2</v>
      </c>
      <c r="F42" s="893">
        <v>6</v>
      </c>
      <c r="G42" s="893">
        <v>95.2</v>
      </c>
      <c r="H42" s="893">
        <v>1025</v>
      </c>
      <c r="I42" s="947">
        <f>F42*H42</f>
        <v>6150</v>
      </c>
    </row>
    <row r="43" spans="1:9" ht="17" thickBot="1">
      <c r="A43" s="946" t="s">
        <v>955</v>
      </c>
      <c r="B43" s="945"/>
      <c r="C43" s="945" t="s">
        <v>974</v>
      </c>
      <c r="D43" s="945">
        <v>3</v>
      </c>
      <c r="E43" s="945">
        <v>2</v>
      </c>
      <c r="F43" s="945">
        <v>2</v>
      </c>
      <c r="G43" s="945">
        <v>95.2</v>
      </c>
      <c r="H43" s="945">
        <v>1025</v>
      </c>
      <c r="I43" s="944">
        <f>F43*H43</f>
        <v>2050</v>
      </c>
    </row>
    <row r="44" spans="1:9" ht="18" thickTop="1" thickBot="1">
      <c r="A44" s="893"/>
      <c r="B44" s="893"/>
      <c r="C44" s="893"/>
      <c r="D44" s="893"/>
      <c r="E44" s="893"/>
      <c r="F44" s="893"/>
      <c r="G44" s="893"/>
      <c r="H44" s="893"/>
      <c r="I44" s="893"/>
    </row>
    <row r="45" spans="1:9" ht="17" thickTop="1">
      <c r="A45" s="1109" t="s">
        <v>1036</v>
      </c>
      <c r="B45" s="1110"/>
      <c r="C45" s="1110"/>
      <c r="D45" s="1110"/>
      <c r="E45" s="1110"/>
      <c r="F45" s="1110"/>
      <c r="G45" s="1110"/>
      <c r="H45" s="1110"/>
      <c r="I45" s="1111"/>
    </row>
    <row r="46" spans="1:9" ht="16">
      <c r="A46" s="1103" t="s">
        <v>1026</v>
      </c>
      <c r="B46" s="1104"/>
      <c r="C46" s="1104"/>
      <c r="D46" s="1104"/>
      <c r="E46" s="1106"/>
      <c r="F46" s="932"/>
      <c r="G46" s="932"/>
      <c r="H46" s="932"/>
      <c r="I46" s="931"/>
    </row>
    <row r="47" spans="1:9" ht="16">
      <c r="A47" s="929" t="s">
        <v>1025</v>
      </c>
      <c r="B47" s="928"/>
      <c r="C47" s="928"/>
      <c r="D47" s="928">
        <f>K39</f>
        <v>0</v>
      </c>
      <c r="E47" s="930">
        <f>D47/I47</f>
        <v>0</v>
      </c>
      <c r="F47" s="912" t="s">
        <v>1024</v>
      </c>
      <c r="G47" s="912"/>
      <c r="H47" s="912"/>
      <c r="I47" s="915">
        <f>SUM(F40:F43)</f>
        <v>14</v>
      </c>
    </row>
    <row r="48" spans="1:9" ht="16">
      <c r="A48" s="929" t="s">
        <v>1023</v>
      </c>
      <c r="B48" s="928"/>
      <c r="C48" s="928"/>
      <c r="D48" s="928">
        <f>L39</f>
        <v>0</v>
      </c>
      <c r="E48" s="927">
        <f>D48/I47</f>
        <v>0</v>
      </c>
      <c r="F48" s="1107" t="s">
        <v>1035</v>
      </c>
      <c r="G48" s="1108"/>
      <c r="H48" s="1108"/>
      <c r="I48" s="943">
        <f>I47/I61</f>
        <v>9.7902097902097904E-2</v>
      </c>
    </row>
    <row r="49" spans="1:9" ht="16">
      <c r="A49" s="929" t="s">
        <v>1022</v>
      </c>
      <c r="B49" s="928"/>
      <c r="C49" s="928"/>
      <c r="D49" s="928">
        <f>M39</f>
        <v>0</v>
      </c>
      <c r="E49" s="927">
        <f>D49/I47</f>
        <v>0</v>
      </c>
      <c r="F49" s="913" t="s">
        <v>1021</v>
      </c>
      <c r="G49" s="913"/>
      <c r="H49" s="913"/>
      <c r="I49" s="915">
        <f>SUM(I40:I43)</f>
        <v>13396</v>
      </c>
    </row>
    <row r="50" spans="1:9" ht="17" thickBot="1">
      <c r="A50" s="942" t="s">
        <v>1020</v>
      </c>
      <c r="B50" s="941"/>
      <c r="C50" s="941"/>
      <c r="D50" s="908">
        <f>N39</f>
        <v>0</v>
      </c>
      <c r="E50" s="940">
        <f>D50/I47</f>
        <v>0</v>
      </c>
      <c r="F50" s="908"/>
      <c r="G50" s="908"/>
      <c r="H50" s="908"/>
      <c r="I50" s="939"/>
    </row>
    <row r="51" spans="1:9" ht="18" thickTop="1" thickBot="1">
      <c r="A51" s="938"/>
      <c r="B51" s="938"/>
      <c r="C51" s="938"/>
      <c r="D51" s="893"/>
      <c r="E51" s="893"/>
      <c r="F51" s="893"/>
      <c r="G51" s="893"/>
      <c r="H51" s="893"/>
      <c r="I51" s="893"/>
    </row>
    <row r="52" spans="1:9" ht="17" thickTop="1">
      <c r="A52" s="1100" t="s">
        <v>1034</v>
      </c>
      <c r="B52" s="1101"/>
      <c r="C52" s="1101"/>
      <c r="D52" s="1101"/>
      <c r="E52" s="1101"/>
      <c r="F52" s="1101"/>
      <c r="G52" s="1101"/>
      <c r="H52" s="1101"/>
      <c r="I52" s="1102"/>
    </row>
    <row r="53" spans="1:9" ht="16">
      <c r="A53" s="920" t="s">
        <v>1033</v>
      </c>
      <c r="B53" s="919"/>
      <c r="C53" s="919"/>
      <c r="D53" s="919"/>
      <c r="E53" s="919"/>
      <c r="F53" s="919"/>
      <c r="G53" s="919"/>
      <c r="H53" s="919"/>
      <c r="I53" s="918"/>
    </row>
    <row r="54" spans="1:9" ht="16">
      <c r="A54" s="937"/>
      <c r="B54" s="912"/>
      <c r="C54" s="912"/>
      <c r="D54" s="912"/>
      <c r="E54" s="912"/>
      <c r="F54" s="912"/>
      <c r="G54" s="912"/>
      <c r="H54" s="936" t="s">
        <v>159</v>
      </c>
      <c r="I54" s="935" t="s">
        <v>1032</v>
      </c>
    </row>
    <row r="55" spans="1:9" ht="16">
      <c r="A55" s="914" t="s">
        <v>1031</v>
      </c>
      <c r="B55" s="913"/>
      <c r="C55" s="913"/>
      <c r="D55" s="913"/>
      <c r="E55" s="912"/>
      <c r="F55" s="912"/>
      <c r="G55" s="912"/>
      <c r="H55" s="912">
        <f>ROUNDUP((I55*2.471),3)</f>
        <v>10.218</v>
      </c>
      <c r="I55" s="926">
        <v>4.1349999999999998</v>
      </c>
    </row>
    <row r="56" spans="1:9" ht="16">
      <c r="A56" s="914" t="s">
        <v>1030</v>
      </c>
      <c r="B56" s="913"/>
      <c r="C56" s="913"/>
      <c r="D56" s="913"/>
      <c r="E56" s="912"/>
      <c r="F56" s="912"/>
      <c r="G56" s="912"/>
      <c r="H56" s="912">
        <f>ROUNDUP((I56*2.471),3)</f>
        <v>10.007999999999999</v>
      </c>
      <c r="I56" s="934">
        <v>4.05</v>
      </c>
    </row>
    <row r="57" spans="1:9" ht="16">
      <c r="A57" s="914" t="s">
        <v>1029</v>
      </c>
      <c r="B57" s="913"/>
      <c r="C57" s="913"/>
      <c r="D57" s="913"/>
      <c r="E57" s="912"/>
      <c r="F57" s="912"/>
      <c r="G57" s="912"/>
      <c r="H57" s="912" t="s">
        <v>1014</v>
      </c>
      <c r="I57" s="926" t="s">
        <v>1014</v>
      </c>
    </row>
    <row r="58" spans="1:9" ht="16">
      <c r="A58" s="914" t="s">
        <v>1028</v>
      </c>
      <c r="B58" s="913"/>
      <c r="C58" s="913"/>
      <c r="D58" s="913"/>
      <c r="E58" s="912"/>
      <c r="F58" s="912"/>
      <c r="G58" s="912"/>
      <c r="H58" s="912" t="s">
        <v>1014</v>
      </c>
      <c r="I58" s="926" t="s">
        <v>1014</v>
      </c>
    </row>
    <row r="59" spans="1:9" ht="16">
      <c r="A59" s="1103" t="s">
        <v>1027</v>
      </c>
      <c r="B59" s="1104"/>
      <c r="C59" s="1104"/>
      <c r="D59" s="1104"/>
      <c r="E59" s="1104"/>
      <c r="F59" s="1104"/>
      <c r="G59" s="1104"/>
      <c r="H59" s="1104"/>
      <c r="I59" s="1105"/>
    </row>
    <row r="60" spans="1:9" ht="16">
      <c r="A60" s="1103" t="s">
        <v>1026</v>
      </c>
      <c r="B60" s="1104"/>
      <c r="C60" s="1104"/>
      <c r="D60" s="1104"/>
      <c r="E60" s="1106"/>
      <c r="F60" s="932"/>
      <c r="G60" s="932"/>
      <c r="H60" s="932"/>
      <c r="I60" s="931"/>
    </row>
    <row r="61" spans="1:9" ht="16">
      <c r="A61" s="929" t="s">
        <v>1025</v>
      </c>
      <c r="B61" s="928"/>
      <c r="C61" s="928"/>
      <c r="D61" s="928">
        <f>D32+D47</f>
        <v>0</v>
      </c>
      <c r="E61" s="930">
        <f>D61/I61</f>
        <v>0</v>
      </c>
      <c r="F61" s="912" t="s">
        <v>1024</v>
      </c>
      <c r="G61" s="912"/>
      <c r="H61" s="912"/>
      <c r="I61" s="915">
        <f>I32</f>
        <v>143</v>
      </c>
    </row>
    <row r="62" spans="1:9" ht="16">
      <c r="A62" s="929" t="s">
        <v>1023</v>
      </c>
      <c r="B62" s="928"/>
      <c r="C62" s="928"/>
      <c r="D62" s="928">
        <f>D33+D48</f>
        <v>0</v>
      </c>
      <c r="E62" s="927">
        <f>D62/I61</f>
        <v>0</v>
      </c>
      <c r="F62" s="912"/>
      <c r="G62" s="912"/>
      <c r="H62" s="912"/>
      <c r="I62" s="926"/>
    </row>
    <row r="63" spans="1:9" ht="16">
      <c r="A63" s="929" t="s">
        <v>1022</v>
      </c>
      <c r="B63" s="928"/>
      <c r="C63" s="928"/>
      <c r="D63" s="928">
        <f>D34+D49</f>
        <v>0</v>
      </c>
      <c r="E63" s="927">
        <f>D63/I61</f>
        <v>0</v>
      </c>
      <c r="F63" s="912" t="s">
        <v>1021</v>
      </c>
      <c r="G63" s="912"/>
      <c r="H63" s="912"/>
      <c r="I63" s="915">
        <f>I34</f>
        <v>164228</v>
      </c>
    </row>
    <row r="64" spans="1:9" ht="16">
      <c r="A64" s="929" t="s">
        <v>1020</v>
      </c>
      <c r="B64" s="928"/>
      <c r="C64" s="928"/>
      <c r="D64" s="912">
        <f>D35+D50</f>
        <v>0</v>
      </c>
      <c r="E64" s="927">
        <f>D64/I61</f>
        <v>0</v>
      </c>
      <c r="F64" s="912"/>
      <c r="G64" s="912"/>
      <c r="H64" s="912"/>
      <c r="I64" s="926"/>
    </row>
    <row r="65" spans="1:9" ht="16">
      <c r="A65" s="925" t="s">
        <v>1019</v>
      </c>
      <c r="B65" s="924"/>
      <c r="C65" s="924"/>
      <c r="D65" s="922">
        <f>D36</f>
        <v>0</v>
      </c>
      <c r="E65" s="923">
        <f>D65/I61</f>
        <v>0</v>
      </c>
      <c r="F65" s="922"/>
      <c r="G65" s="922"/>
      <c r="H65" s="922"/>
      <c r="I65" s="921"/>
    </row>
    <row r="66" spans="1:9" ht="16">
      <c r="A66" s="1103" t="s">
        <v>1018</v>
      </c>
      <c r="B66" s="1104"/>
      <c r="C66" s="1104"/>
      <c r="D66" s="1104"/>
      <c r="E66" s="1104"/>
      <c r="F66" s="1104"/>
      <c r="G66" s="1104"/>
      <c r="H66" s="1104"/>
      <c r="I66" s="1105"/>
    </row>
    <row r="67" spans="1:9" ht="16">
      <c r="A67" s="917" t="s">
        <v>1017</v>
      </c>
      <c r="B67" s="916"/>
      <c r="C67" s="916"/>
      <c r="D67" s="916"/>
      <c r="E67" s="912"/>
      <c r="F67" s="912"/>
      <c r="G67" s="912"/>
      <c r="H67" s="912"/>
      <c r="I67" s="915" t="s">
        <v>1014</v>
      </c>
    </row>
    <row r="68" spans="1:9" ht="16">
      <c r="A68" s="914" t="s">
        <v>1016</v>
      </c>
      <c r="B68" s="913"/>
      <c r="C68" s="913"/>
      <c r="D68" s="913"/>
      <c r="E68" s="912"/>
      <c r="F68" s="912"/>
      <c r="G68" s="912"/>
      <c r="H68" s="912"/>
      <c r="I68" s="915">
        <f>ROUNDUP((I61/I56),1)</f>
        <v>35.4</v>
      </c>
    </row>
    <row r="69" spans="1:9" ht="16">
      <c r="A69" s="914" t="s">
        <v>1015</v>
      </c>
      <c r="B69" s="913"/>
      <c r="C69" s="913"/>
      <c r="D69" s="913"/>
      <c r="E69" s="912"/>
      <c r="F69" s="912"/>
      <c r="G69" s="912"/>
      <c r="H69" s="912"/>
      <c r="I69" s="911" t="s">
        <v>1014</v>
      </c>
    </row>
    <row r="70" spans="1:9" ht="17" thickBot="1">
      <c r="A70" s="910" t="s">
        <v>1013</v>
      </c>
      <c r="B70" s="909"/>
      <c r="C70" s="909"/>
      <c r="D70" s="909"/>
      <c r="E70" s="908"/>
      <c r="F70" s="908"/>
      <c r="G70" s="908"/>
      <c r="H70" s="908"/>
      <c r="I70" s="907">
        <f>ROUNDUP((I63/H56),0)</f>
        <v>16410</v>
      </c>
    </row>
    <row r="71" spans="1:9" ht="16" thickTop="1">
      <c r="A71" s="894"/>
      <c r="B71" s="894"/>
      <c r="C71" s="894"/>
      <c r="D71" s="894"/>
      <c r="E71" s="894"/>
      <c r="F71" s="894"/>
      <c r="G71" s="894"/>
      <c r="H71" s="894"/>
      <c r="I71" s="894"/>
    </row>
    <row r="72" spans="1:9" ht="16">
      <c r="A72" s="917" t="s">
        <v>1012</v>
      </c>
      <c r="B72" s="916"/>
      <c r="C72" s="916"/>
      <c r="D72" s="916"/>
      <c r="E72" s="912"/>
      <c r="F72" s="912"/>
      <c r="G72" s="912"/>
      <c r="H72" s="912"/>
      <c r="I72" s="915">
        <v>29</v>
      </c>
    </row>
    <row r="73" spans="1:9" ht="16">
      <c r="A73" s="914" t="s">
        <v>1011</v>
      </c>
      <c r="B73" s="913"/>
      <c r="C73" s="913"/>
      <c r="D73" s="913"/>
      <c r="E73" s="912"/>
      <c r="F73" s="912"/>
      <c r="G73" s="912"/>
      <c r="H73" s="912"/>
      <c r="I73" s="915">
        <v>7</v>
      </c>
    </row>
    <row r="74" spans="1:9" ht="16">
      <c r="A74" s="914"/>
      <c r="B74" s="913"/>
      <c r="C74" s="913"/>
      <c r="D74" s="913"/>
      <c r="E74" s="912"/>
      <c r="F74" s="912"/>
      <c r="G74" s="912"/>
      <c r="H74" s="912"/>
      <c r="I74" s="911"/>
    </row>
    <row r="75" spans="1:9" ht="17" thickBot="1">
      <c r="A75" s="910"/>
      <c r="B75" s="909"/>
      <c r="C75" s="909"/>
      <c r="D75" s="909"/>
      <c r="E75" s="908"/>
      <c r="F75" s="908"/>
      <c r="G75" s="908"/>
      <c r="H75" s="908"/>
      <c r="I75" s="907"/>
    </row>
    <row r="76" spans="1:9" ht="16" thickTop="1"/>
  </sheetData>
  <mergeCells count="16">
    <mergeCell ref="A30:I30"/>
    <mergeCell ref="A1:I1"/>
    <mergeCell ref="A2:I2"/>
    <mergeCell ref="A3:I3"/>
    <mergeCell ref="A4:I4"/>
    <mergeCell ref="A6:I6"/>
    <mergeCell ref="A52:I52"/>
    <mergeCell ref="A59:I59"/>
    <mergeCell ref="A60:E60"/>
    <mergeCell ref="A66:I66"/>
    <mergeCell ref="A31:E31"/>
    <mergeCell ref="F33:H33"/>
    <mergeCell ref="A38:I38"/>
    <mergeCell ref="A45:I45"/>
    <mergeCell ref="A46:E46"/>
    <mergeCell ref="F48:H4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8D2FC-B8BD-584D-A356-B13C2F3CAB4E}">
  <dimension ref="A1:G42"/>
  <sheetViews>
    <sheetView topLeftCell="A3" zoomScale="120" zoomScaleNormal="120" workbookViewId="0">
      <selection activeCell="A55" sqref="A55:I71"/>
    </sheetView>
  </sheetViews>
  <sheetFormatPr baseColWidth="10" defaultColWidth="8.83203125" defaultRowHeight="15"/>
  <cols>
    <col min="1" max="2" width="15.6640625" customWidth="1"/>
    <col min="3" max="3" width="37.6640625" customWidth="1"/>
    <col min="4" max="7" width="15.6640625" customWidth="1"/>
  </cols>
  <sheetData>
    <row r="1" spans="1:7" ht="16">
      <c r="A1" s="1011" t="s">
        <v>1091</v>
      </c>
      <c r="B1" s="1011"/>
      <c r="C1" s="980"/>
      <c r="D1" s="980"/>
      <c r="E1" s="980"/>
      <c r="F1" s="980"/>
      <c r="G1" s="980"/>
    </row>
    <row r="2" spans="1:7" ht="16">
      <c r="A2" s="1011" t="s">
        <v>1079</v>
      </c>
      <c r="B2" s="1011"/>
      <c r="C2" s="1011"/>
      <c r="D2" s="1011"/>
      <c r="E2" s="1011"/>
      <c r="F2" s="1010"/>
      <c r="G2" s="1009"/>
    </row>
    <row r="3" spans="1:7">
      <c r="A3" s="1008"/>
      <c r="B3" s="1008"/>
      <c r="C3" s="1008"/>
      <c r="D3" s="1008"/>
      <c r="E3" s="1008"/>
      <c r="F3" s="1007"/>
      <c r="G3" s="1006"/>
    </row>
    <row r="4" spans="1:7">
      <c r="A4" s="1005" t="s">
        <v>1078</v>
      </c>
      <c r="B4" s="1005" t="s">
        <v>1047</v>
      </c>
      <c r="C4" s="1005" t="s">
        <v>1076</v>
      </c>
      <c r="D4" s="1004" t="s">
        <v>1075</v>
      </c>
      <c r="E4" s="1004"/>
      <c r="F4" s="1004" t="s">
        <v>16</v>
      </c>
      <c r="G4" s="1004" t="s">
        <v>1073</v>
      </c>
    </row>
    <row r="5" spans="1:7">
      <c r="A5" s="1003" t="s">
        <v>989</v>
      </c>
      <c r="B5" s="1003"/>
      <c r="C5" s="999" t="s">
        <v>1071</v>
      </c>
      <c r="D5" s="1001">
        <v>866</v>
      </c>
      <c r="E5" s="1001">
        <v>2</v>
      </c>
      <c r="F5" s="1002">
        <v>4</v>
      </c>
      <c r="G5" s="1001">
        <v>3464</v>
      </c>
    </row>
    <row r="6" spans="1:7">
      <c r="A6" s="1003" t="s">
        <v>990</v>
      </c>
      <c r="B6" s="1003"/>
      <c r="C6" s="999" t="s">
        <v>1072</v>
      </c>
      <c r="D6" s="1001">
        <v>1025</v>
      </c>
      <c r="E6" s="1001">
        <v>2</v>
      </c>
      <c r="F6" s="1002">
        <v>10</v>
      </c>
      <c r="G6" s="1001">
        <v>10250</v>
      </c>
    </row>
    <row r="7" spans="1:7">
      <c r="A7" s="1003" t="s">
        <v>991</v>
      </c>
      <c r="B7" s="1003"/>
      <c r="C7" s="999" t="s">
        <v>1071</v>
      </c>
      <c r="D7" s="1001">
        <v>785</v>
      </c>
      <c r="E7" s="1001">
        <v>2</v>
      </c>
      <c r="F7" s="1002">
        <v>8</v>
      </c>
      <c r="G7" s="1001">
        <v>6280</v>
      </c>
    </row>
    <row r="8" spans="1:7">
      <c r="A8" s="1003" t="s">
        <v>992</v>
      </c>
      <c r="B8" s="1003"/>
      <c r="C8" s="999" t="s">
        <v>1071</v>
      </c>
      <c r="D8" s="1001">
        <v>785</v>
      </c>
      <c r="E8" s="1001">
        <v>2</v>
      </c>
      <c r="F8" s="1002">
        <v>2</v>
      </c>
      <c r="G8" s="1001">
        <v>1570</v>
      </c>
    </row>
    <row r="9" spans="1:7">
      <c r="A9" s="1003" t="s">
        <v>993</v>
      </c>
      <c r="B9" s="1003"/>
      <c r="C9" s="999" t="s">
        <v>1090</v>
      </c>
      <c r="D9" s="1001">
        <v>952</v>
      </c>
      <c r="E9" s="1001">
        <v>2</v>
      </c>
      <c r="F9" s="1002">
        <v>8</v>
      </c>
      <c r="G9" s="1001">
        <v>7616</v>
      </c>
    </row>
    <row r="10" spans="1:7">
      <c r="A10" s="1003" t="s">
        <v>994</v>
      </c>
      <c r="B10" s="1003"/>
      <c r="C10" s="999" t="s">
        <v>1089</v>
      </c>
      <c r="D10" s="1001">
        <v>970</v>
      </c>
      <c r="E10" s="1001">
        <v>2</v>
      </c>
      <c r="F10" s="1002">
        <v>36</v>
      </c>
      <c r="G10" s="1001">
        <v>34920</v>
      </c>
    </row>
    <row r="11" spans="1:7">
      <c r="A11" s="1003" t="s">
        <v>995</v>
      </c>
      <c r="B11" s="1003"/>
      <c r="C11" s="999" t="s">
        <v>1089</v>
      </c>
      <c r="D11" s="1001">
        <v>970</v>
      </c>
      <c r="E11" s="1001">
        <v>2</v>
      </c>
      <c r="F11" s="1002">
        <v>2</v>
      </c>
      <c r="G11" s="1001">
        <v>1940</v>
      </c>
    </row>
    <row r="12" spans="1:7">
      <c r="A12" s="1003" t="s">
        <v>996</v>
      </c>
      <c r="B12" s="1003"/>
      <c r="C12" s="999" t="s">
        <v>1089</v>
      </c>
      <c r="D12" s="1001">
        <v>970</v>
      </c>
      <c r="E12" s="1001">
        <v>2</v>
      </c>
      <c r="F12" s="1002">
        <v>20</v>
      </c>
      <c r="G12" s="1001">
        <v>19400</v>
      </c>
    </row>
    <row r="13" spans="1:7">
      <c r="A13" s="1003" t="s">
        <v>997</v>
      </c>
      <c r="B13" s="1003"/>
      <c r="C13" s="999" t="s">
        <v>1088</v>
      </c>
      <c r="D13" s="1001">
        <v>995</v>
      </c>
      <c r="E13" s="1001">
        <v>2</v>
      </c>
      <c r="F13" s="1002">
        <v>6</v>
      </c>
      <c r="G13" s="1001">
        <v>5970</v>
      </c>
    </row>
    <row r="14" spans="1:7">
      <c r="A14" s="1003" t="s">
        <v>998</v>
      </c>
      <c r="B14" s="1003"/>
      <c r="C14" s="999" t="s">
        <v>1088</v>
      </c>
      <c r="D14" s="1001">
        <v>995</v>
      </c>
      <c r="E14" s="1001">
        <v>2</v>
      </c>
      <c r="F14" s="1002">
        <v>1</v>
      </c>
      <c r="G14" s="1001">
        <v>995</v>
      </c>
    </row>
    <row r="15" spans="1:7">
      <c r="A15" s="1003" t="s">
        <v>999</v>
      </c>
      <c r="B15" s="1003"/>
      <c r="C15" s="999" t="s">
        <v>1087</v>
      </c>
      <c r="D15" s="1001">
        <v>1046</v>
      </c>
      <c r="E15" s="1001">
        <v>2</v>
      </c>
      <c r="F15" s="1002">
        <v>7</v>
      </c>
      <c r="G15" s="1001">
        <v>7322</v>
      </c>
    </row>
    <row r="16" spans="1:7">
      <c r="A16" s="1003" t="s">
        <v>1000</v>
      </c>
      <c r="B16" s="1003"/>
      <c r="C16" s="999" t="s">
        <v>1085</v>
      </c>
      <c r="D16" s="1001">
        <v>1074</v>
      </c>
      <c r="E16" s="1001">
        <v>2</v>
      </c>
      <c r="F16" s="1002">
        <v>22</v>
      </c>
      <c r="G16" s="1001">
        <v>23628</v>
      </c>
    </row>
    <row r="17" spans="1:7">
      <c r="A17" s="1003" t="s">
        <v>1001</v>
      </c>
      <c r="B17" s="1003" t="s">
        <v>920</v>
      </c>
      <c r="C17" s="999" t="s">
        <v>1086</v>
      </c>
      <c r="D17" s="1001">
        <v>1122</v>
      </c>
      <c r="E17" s="1001">
        <v>2.5</v>
      </c>
      <c r="F17" s="1002">
        <v>14</v>
      </c>
      <c r="G17" s="1001">
        <v>15708</v>
      </c>
    </row>
    <row r="18" spans="1:7">
      <c r="A18" s="1003" t="s">
        <v>1002</v>
      </c>
      <c r="B18" s="1003"/>
      <c r="C18" s="999" t="s">
        <v>1085</v>
      </c>
      <c r="D18" s="1001">
        <v>1276</v>
      </c>
      <c r="E18" s="1001">
        <v>2</v>
      </c>
      <c r="F18" s="1002">
        <v>9</v>
      </c>
      <c r="G18" s="1001">
        <v>11484</v>
      </c>
    </row>
    <row r="19" spans="1:7">
      <c r="A19" s="1003" t="s">
        <v>1003</v>
      </c>
      <c r="B19" s="1003" t="s">
        <v>920</v>
      </c>
      <c r="C19" s="999" t="s">
        <v>1084</v>
      </c>
      <c r="D19" s="1001">
        <v>1225</v>
      </c>
      <c r="E19" s="1001">
        <v>2</v>
      </c>
      <c r="F19" s="1002">
        <v>12</v>
      </c>
      <c r="G19" s="1001">
        <v>15925</v>
      </c>
    </row>
    <row r="20" spans="1:7">
      <c r="A20" s="1003" t="s">
        <v>1003</v>
      </c>
      <c r="B20" s="1003" t="s">
        <v>922</v>
      </c>
      <c r="C20" s="999" t="s">
        <v>1084</v>
      </c>
      <c r="D20" s="1001">
        <v>1225</v>
      </c>
      <c r="E20" s="1001">
        <v>2</v>
      </c>
      <c r="F20" s="1002">
        <v>1</v>
      </c>
      <c r="G20" s="1001">
        <v>15925</v>
      </c>
    </row>
    <row r="21" spans="1:7">
      <c r="A21" s="1003" t="s">
        <v>1004</v>
      </c>
      <c r="B21" s="1003" t="s">
        <v>920</v>
      </c>
      <c r="C21" s="999" t="s">
        <v>1083</v>
      </c>
      <c r="D21" s="1001">
        <v>1551</v>
      </c>
      <c r="E21" s="1001">
        <v>2</v>
      </c>
      <c r="F21" s="1002">
        <v>9</v>
      </c>
      <c r="G21" s="1001">
        <v>13959</v>
      </c>
    </row>
    <row r="22" spans="1:7">
      <c r="A22" s="999"/>
      <c r="B22" s="999"/>
      <c r="C22" s="999"/>
      <c r="D22" s="990"/>
      <c r="E22" s="990"/>
      <c r="F22" s="1000"/>
      <c r="G22" s="997"/>
    </row>
    <row r="23" spans="1:7">
      <c r="A23" s="999"/>
      <c r="B23" s="999"/>
      <c r="C23" s="999"/>
      <c r="D23" s="999"/>
      <c r="E23" s="999"/>
      <c r="F23" s="998"/>
      <c r="G23" s="997"/>
    </row>
    <row r="24" spans="1:7">
      <c r="A24" s="996" t="s">
        <v>1062</v>
      </c>
      <c r="B24" s="996"/>
      <c r="C24" s="995"/>
      <c r="D24" s="995"/>
      <c r="E24" s="995"/>
      <c r="F24" s="994">
        <v>171</v>
      </c>
      <c r="G24" s="993">
        <v>180431</v>
      </c>
    </row>
    <row r="25" spans="1:7">
      <c r="A25" s="996" t="s">
        <v>1082</v>
      </c>
      <c r="B25" s="996"/>
      <c r="C25" s="995"/>
      <c r="D25" s="995"/>
      <c r="E25" s="995"/>
      <c r="F25" s="994">
        <v>18</v>
      </c>
      <c r="G25" s="993"/>
    </row>
    <row r="26" spans="1:7">
      <c r="A26" s="996" t="s">
        <v>1081</v>
      </c>
      <c r="B26" s="996"/>
      <c r="C26" s="995"/>
      <c r="D26" s="995"/>
      <c r="E26" s="995"/>
      <c r="F26" s="994">
        <v>1</v>
      </c>
      <c r="G26" s="993"/>
    </row>
    <row r="27" spans="1:7">
      <c r="A27" s="981"/>
      <c r="B27" s="981"/>
      <c r="C27" s="981"/>
      <c r="D27" s="981"/>
      <c r="E27" s="981"/>
      <c r="F27" s="992"/>
      <c r="G27" s="992"/>
    </row>
    <row r="28" spans="1:7">
      <c r="A28" s="981" t="s">
        <v>1059</v>
      </c>
      <c r="B28" s="981"/>
      <c r="C28" s="981"/>
      <c r="D28" s="981"/>
      <c r="E28" s="981"/>
      <c r="F28" s="981"/>
      <c r="G28" s="991" t="s">
        <v>1014</v>
      </c>
    </row>
    <row r="29" spans="1:7">
      <c r="A29" s="981"/>
      <c r="B29" s="981"/>
      <c r="C29" s="981"/>
      <c r="D29" s="981"/>
      <c r="E29" s="981"/>
      <c r="F29" s="981"/>
      <c r="G29" s="981"/>
    </row>
    <row r="30" spans="1:7">
      <c r="A30" s="981" t="s">
        <v>1058</v>
      </c>
      <c r="B30" s="981"/>
      <c r="C30" s="981"/>
      <c r="D30" s="981"/>
      <c r="E30" s="981"/>
      <c r="F30" s="981"/>
      <c r="G30" s="990" t="s">
        <v>1014</v>
      </c>
    </row>
    <row r="31" spans="1:7">
      <c r="A31" s="981"/>
      <c r="B31" s="981"/>
      <c r="C31" s="981"/>
      <c r="D31" s="981"/>
      <c r="E31" s="981"/>
      <c r="F31" s="981"/>
      <c r="G31" s="981"/>
    </row>
    <row r="32" spans="1:7">
      <c r="A32" s="981" t="s">
        <v>1057</v>
      </c>
      <c r="B32" s="981"/>
      <c r="C32" s="981"/>
      <c r="D32" s="981"/>
      <c r="E32" s="981"/>
      <c r="F32" s="988"/>
      <c r="G32" s="989">
        <v>11.18</v>
      </c>
    </row>
    <row r="33" spans="1:7">
      <c r="A33" s="981"/>
      <c r="B33" s="981"/>
      <c r="C33" s="981"/>
      <c r="D33" s="981"/>
      <c r="E33" s="981"/>
      <c r="F33" s="981"/>
      <c r="G33" s="981"/>
    </row>
    <row r="34" spans="1:7">
      <c r="A34" s="981" t="s">
        <v>1056</v>
      </c>
      <c r="B34" s="981"/>
      <c r="C34" s="981"/>
      <c r="D34" s="981"/>
      <c r="E34" s="981"/>
      <c r="F34" s="988"/>
      <c r="G34" s="987">
        <v>15.295169946332738</v>
      </c>
    </row>
    <row r="35" spans="1:7">
      <c r="A35" s="981"/>
      <c r="B35" s="981"/>
      <c r="C35" s="981"/>
      <c r="D35" s="981"/>
      <c r="E35" s="981"/>
      <c r="F35" s="981"/>
      <c r="G35" s="981"/>
    </row>
    <row r="36" spans="1:7">
      <c r="A36" s="981" t="s">
        <v>1055</v>
      </c>
      <c r="B36" s="981"/>
      <c r="C36" s="981"/>
      <c r="D36" s="981"/>
      <c r="E36" s="981"/>
      <c r="F36" s="988"/>
      <c r="G36" s="987">
        <v>37.795188064351287</v>
      </c>
    </row>
    <row r="37" spans="1:7" ht="16" thickBot="1">
      <c r="A37" s="986"/>
      <c r="B37" s="986"/>
      <c r="C37" s="986"/>
      <c r="D37" s="986"/>
      <c r="E37" s="986"/>
      <c r="F37" s="986"/>
      <c r="G37" s="986"/>
    </row>
    <row r="38" spans="1:7" ht="16" thickBot="1">
      <c r="A38" s="985" t="s">
        <v>1054</v>
      </c>
      <c r="B38" s="984"/>
      <c r="C38" s="984"/>
      <c r="D38" s="984"/>
      <c r="E38" s="984"/>
      <c r="F38" s="983"/>
      <c r="G38" s="982">
        <v>16138.729874776387</v>
      </c>
    </row>
    <row r="39" spans="1:7">
      <c r="A39" s="980"/>
      <c r="B39" s="980"/>
      <c r="C39" s="980"/>
      <c r="D39" s="980"/>
      <c r="E39" s="980"/>
      <c r="F39" s="980"/>
      <c r="G39" s="980"/>
    </row>
    <row r="40" spans="1:7">
      <c r="A40" s="981" t="s">
        <v>1053</v>
      </c>
      <c r="B40" s="981"/>
      <c r="C40" s="980"/>
      <c r="D40" s="980"/>
      <c r="E40" s="980"/>
      <c r="F40" s="980"/>
      <c r="G40" s="950">
        <v>1</v>
      </c>
    </row>
    <row r="41" spans="1:7">
      <c r="A41" s="980"/>
      <c r="B41" s="980"/>
      <c r="C41" s="980"/>
      <c r="D41" s="980"/>
      <c r="E41" s="980"/>
      <c r="F41" s="980"/>
      <c r="G41" s="950"/>
    </row>
    <row r="42" spans="1:7">
      <c r="A42" s="981" t="s">
        <v>1052</v>
      </c>
      <c r="B42" s="981"/>
      <c r="C42" s="980"/>
      <c r="D42" s="980"/>
      <c r="E42" s="980"/>
      <c r="F42" s="980"/>
      <c r="G42" s="950">
        <v>0.1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D7037-1B76-1442-9379-00558A779CF4}">
  <dimension ref="A1:G43"/>
  <sheetViews>
    <sheetView workbookViewId="0">
      <selection activeCell="A55" sqref="A55:I71"/>
    </sheetView>
  </sheetViews>
  <sheetFormatPr baseColWidth="10" defaultColWidth="8.83203125" defaultRowHeight="15"/>
  <cols>
    <col min="1" max="2" width="15.6640625" customWidth="1"/>
    <col min="3" max="3" width="39.83203125" customWidth="1"/>
    <col min="4" max="7" width="15.6640625" customWidth="1"/>
  </cols>
  <sheetData>
    <row r="1" spans="1:7" ht="16">
      <c r="A1" s="978" t="s">
        <v>1080</v>
      </c>
      <c r="B1" s="978"/>
      <c r="C1" s="979"/>
      <c r="D1" s="979"/>
      <c r="E1" s="979"/>
      <c r="F1" s="979"/>
      <c r="G1" s="979"/>
    </row>
    <row r="2" spans="1:7" ht="16">
      <c r="A2" s="978" t="s">
        <v>1079</v>
      </c>
      <c r="B2" s="978"/>
      <c r="C2" s="978"/>
      <c r="D2" s="978"/>
      <c r="E2" s="978"/>
      <c r="F2" s="977"/>
      <c r="G2" s="976"/>
    </row>
    <row r="3" spans="1:7">
      <c r="A3" s="975"/>
      <c r="B3" s="975"/>
      <c r="C3" s="975"/>
      <c r="D3" s="975"/>
      <c r="E3" s="975"/>
      <c r="F3" s="974"/>
      <c r="G3" s="973"/>
    </row>
    <row r="4" spans="1:7">
      <c r="A4" s="972" t="s">
        <v>1078</v>
      </c>
      <c r="B4" s="972" t="s">
        <v>1077</v>
      </c>
      <c r="C4" s="972" t="s">
        <v>1076</v>
      </c>
      <c r="D4" s="970" t="s">
        <v>1075</v>
      </c>
      <c r="E4" s="971" t="s">
        <v>1074</v>
      </c>
      <c r="F4" s="970" t="s">
        <v>16</v>
      </c>
      <c r="G4" s="970" t="s">
        <v>1073</v>
      </c>
    </row>
    <row r="5" spans="1:7">
      <c r="A5" s="900" t="s">
        <v>989</v>
      </c>
      <c r="B5" s="900"/>
      <c r="C5" s="968" t="s">
        <v>1071</v>
      </c>
      <c r="D5" s="901">
        <v>866</v>
      </c>
      <c r="E5" s="901">
        <v>2</v>
      </c>
      <c r="F5" s="904">
        <v>6</v>
      </c>
      <c r="G5" s="901">
        <f t="shared" ref="G5:G22" si="0">D5*F5</f>
        <v>5196</v>
      </c>
    </row>
    <row r="6" spans="1:7">
      <c r="A6" s="900" t="s">
        <v>1007</v>
      </c>
      <c r="B6" s="900"/>
      <c r="C6" s="968" t="s">
        <v>1071</v>
      </c>
      <c r="D6" s="901">
        <v>866</v>
      </c>
      <c r="E6" s="901">
        <v>2</v>
      </c>
      <c r="F6" s="904">
        <v>1</v>
      </c>
      <c r="G6" s="901">
        <f t="shared" si="0"/>
        <v>866</v>
      </c>
    </row>
    <row r="7" spans="1:7">
      <c r="A7" s="900" t="s">
        <v>990</v>
      </c>
      <c r="B7" s="900"/>
      <c r="C7" s="968" t="s">
        <v>1072</v>
      </c>
      <c r="D7" s="901">
        <v>1025</v>
      </c>
      <c r="E7" s="901">
        <v>2</v>
      </c>
      <c r="F7" s="904">
        <v>4</v>
      </c>
      <c r="G7" s="901">
        <f t="shared" si="0"/>
        <v>4100</v>
      </c>
    </row>
    <row r="8" spans="1:7">
      <c r="A8" s="900" t="s">
        <v>1008</v>
      </c>
      <c r="B8" s="900"/>
      <c r="C8" s="968" t="s">
        <v>1072</v>
      </c>
      <c r="D8" s="901">
        <v>1025</v>
      </c>
      <c r="E8" s="901">
        <v>2</v>
      </c>
      <c r="F8" s="904">
        <v>2</v>
      </c>
      <c r="G8" s="901">
        <f t="shared" si="0"/>
        <v>2050</v>
      </c>
    </row>
    <row r="9" spans="1:7">
      <c r="A9" s="900" t="s">
        <v>991</v>
      </c>
      <c r="B9" s="900"/>
      <c r="C9" s="968" t="s">
        <v>1071</v>
      </c>
      <c r="D9" s="901">
        <v>785</v>
      </c>
      <c r="E9" s="901">
        <v>2</v>
      </c>
      <c r="F9" s="904">
        <v>10</v>
      </c>
      <c r="G9" s="901">
        <f t="shared" si="0"/>
        <v>7850</v>
      </c>
    </row>
    <row r="10" spans="1:7">
      <c r="A10" s="900" t="s">
        <v>992</v>
      </c>
      <c r="B10" s="900"/>
      <c r="C10" s="968" t="s">
        <v>1071</v>
      </c>
      <c r="D10" s="901">
        <v>785</v>
      </c>
      <c r="E10" s="901">
        <v>2</v>
      </c>
      <c r="F10" s="904">
        <v>4</v>
      </c>
      <c r="G10" s="901">
        <f t="shared" si="0"/>
        <v>3140</v>
      </c>
    </row>
    <row r="11" spans="1:7">
      <c r="A11" s="900" t="s">
        <v>1009</v>
      </c>
      <c r="B11" s="900"/>
      <c r="C11" s="968" t="s">
        <v>1070</v>
      </c>
      <c r="D11" s="901">
        <v>922</v>
      </c>
      <c r="E11" s="901">
        <v>2</v>
      </c>
      <c r="F11" s="904">
        <v>9</v>
      </c>
      <c r="G11" s="901">
        <f t="shared" si="0"/>
        <v>8298</v>
      </c>
    </row>
    <row r="12" spans="1:7">
      <c r="A12" s="900" t="s">
        <v>1010</v>
      </c>
      <c r="B12" s="900"/>
      <c r="C12" s="968" t="s">
        <v>1069</v>
      </c>
      <c r="D12" s="901">
        <v>934</v>
      </c>
      <c r="E12" s="901">
        <v>2</v>
      </c>
      <c r="F12" s="904">
        <v>12</v>
      </c>
      <c r="G12" s="901">
        <f t="shared" si="0"/>
        <v>11208</v>
      </c>
    </row>
    <row r="13" spans="1:7">
      <c r="A13" s="900" t="s">
        <v>994</v>
      </c>
      <c r="B13" s="900"/>
      <c r="C13" s="968" t="s">
        <v>1069</v>
      </c>
      <c r="D13" s="901">
        <v>970</v>
      </c>
      <c r="E13" s="901">
        <v>2</v>
      </c>
      <c r="F13" s="904">
        <v>28</v>
      </c>
      <c r="G13" s="901">
        <f t="shared" si="0"/>
        <v>27160</v>
      </c>
    </row>
    <row r="14" spans="1:7">
      <c r="A14" s="900" t="s">
        <v>995</v>
      </c>
      <c r="B14" s="900"/>
      <c r="C14" s="968" t="s">
        <v>1069</v>
      </c>
      <c r="D14" s="901">
        <v>970</v>
      </c>
      <c r="E14" s="901">
        <v>2</v>
      </c>
      <c r="F14" s="904">
        <v>6</v>
      </c>
      <c r="G14" s="901">
        <f t="shared" si="0"/>
        <v>5820</v>
      </c>
    </row>
    <row r="15" spans="1:7">
      <c r="A15" s="900" t="s">
        <v>996</v>
      </c>
      <c r="B15" s="900"/>
      <c r="C15" s="968" t="s">
        <v>1069</v>
      </c>
      <c r="D15" s="901">
        <v>970</v>
      </c>
      <c r="E15" s="901">
        <v>2</v>
      </c>
      <c r="F15" s="904">
        <v>13</v>
      </c>
      <c r="G15" s="901">
        <f t="shared" si="0"/>
        <v>12610</v>
      </c>
    </row>
    <row r="16" spans="1:7">
      <c r="A16" s="900" t="s">
        <v>998</v>
      </c>
      <c r="B16" s="900"/>
      <c r="C16" s="968" t="s">
        <v>1068</v>
      </c>
      <c r="D16" s="901">
        <v>995</v>
      </c>
      <c r="E16" s="901">
        <v>2</v>
      </c>
      <c r="F16" s="904">
        <v>2</v>
      </c>
      <c r="G16" s="901">
        <f t="shared" si="0"/>
        <v>1990</v>
      </c>
    </row>
    <row r="17" spans="1:7">
      <c r="A17" s="900" t="s">
        <v>997</v>
      </c>
      <c r="B17" s="900"/>
      <c r="C17" s="968" t="s">
        <v>1067</v>
      </c>
      <c r="D17" s="901">
        <v>995</v>
      </c>
      <c r="E17" s="901">
        <v>2</v>
      </c>
      <c r="F17" s="904">
        <v>5</v>
      </c>
      <c r="G17" s="901">
        <f t="shared" si="0"/>
        <v>4975</v>
      </c>
    </row>
    <row r="18" spans="1:7">
      <c r="A18" s="900" t="s">
        <v>999</v>
      </c>
      <c r="B18" s="900"/>
      <c r="C18" s="968" t="s">
        <v>1064</v>
      </c>
      <c r="D18" s="901">
        <v>1046</v>
      </c>
      <c r="E18" s="901">
        <v>2</v>
      </c>
      <c r="F18" s="904">
        <v>4</v>
      </c>
      <c r="G18" s="901">
        <f t="shared" si="0"/>
        <v>4184</v>
      </c>
    </row>
    <row r="19" spans="1:7">
      <c r="A19" s="900" t="s">
        <v>1001</v>
      </c>
      <c r="B19" s="900" t="s">
        <v>920</v>
      </c>
      <c r="C19" s="968" t="s">
        <v>1066</v>
      </c>
      <c r="D19" s="901">
        <v>1122</v>
      </c>
      <c r="E19" s="901">
        <v>2.5</v>
      </c>
      <c r="F19" s="904">
        <v>8</v>
      </c>
      <c r="G19" s="901">
        <f t="shared" si="0"/>
        <v>8976</v>
      </c>
    </row>
    <row r="20" spans="1:7">
      <c r="A20" s="900" t="s">
        <v>1003</v>
      </c>
      <c r="B20" s="900" t="s">
        <v>920</v>
      </c>
      <c r="C20" s="968" t="s">
        <v>1065</v>
      </c>
      <c r="D20" s="901">
        <v>1225</v>
      </c>
      <c r="E20" s="901">
        <v>2</v>
      </c>
      <c r="F20" s="904">
        <v>5</v>
      </c>
      <c r="G20" s="901">
        <f t="shared" si="0"/>
        <v>6125</v>
      </c>
    </row>
    <row r="21" spans="1:7">
      <c r="A21" s="900" t="s">
        <v>993</v>
      </c>
      <c r="B21" s="900"/>
      <c r="C21" s="968" t="s">
        <v>1064</v>
      </c>
      <c r="D21" s="901">
        <v>952</v>
      </c>
      <c r="E21" s="901">
        <v>2</v>
      </c>
      <c r="F21" s="904">
        <v>7</v>
      </c>
      <c r="G21" s="901">
        <f t="shared" si="0"/>
        <v>6664</v>
      </c>
    </row>
    <row r="22" spans="1:7">
      <c r="A22" s="900" t="s">
        <v>1004</v>
      </c>
      <c r="B22" s="900" t="s">
        <v>920</v>
      </c>
      <c r="C22" s="968" t="s">
        <v>1063</v>
      </c>
      <c r="D22" s="901">
        <v>1551</v>
      </c>
      <c r="E22" s="901">
        <v>2</v>
      </c>
      <c r="F22" s="904">
        <v>5</v>
      </c>
      <c r="G22" s="901">
        <f t="shared" si="0"/>
        <v>7755</v>
      </c>
    </row>
    <row r="23" spans="1:7">
      <c r="A23" s="968"/>
      <c r="B23" s="968"/>
      <c r="C23" s="968"/>
      <c r="D23" s="960"/>
      <c r="E23" s="960"/>
      <c r="F23" s="969"/>
      <c r="G23" s="902"/>
    </row>
    <row r="24" spans="1:7">
      <c r="A24" s="968"/>
      <c r="B24" s="968"/>
      <c r="C24" s="968"/>
      <c r="D24" s="968"/>
      <c r="E24" s="968"/>
      <c r="F24" s="967"/>
      <c r="G24" s="902"/>
    </row>
    <row r="25" spans="1:7">
      <c r="A25" s="966" t="s">
        <v>1062</v>
      </c>
      <c r="B25" s="966"/>
      <c r="C25" s="965"/>
      <c r="D25" s="965"/>
      <c r="E25" s="965"/>
      <c r="F25" s="964">
        <f>SUM(F5:F22)</f>
        <v>131</v>
      </c>
      <c r="G25" s="963">
        <f>SUM(G5:G24)</f>
        <v>128967</v>
      </c>
    </row>
    <row r="26" spans="1:7">
      <c r="A26" s="966" t="s">
        <v>1061</v>
      </c>
      <c r="B26" s="966"/>
      <c r="C26" s="965"/>
      <c r="D26" s="965"/>
      <c r="E26" s="965"/>
      <c r="F26" s="964">
        <v>9</v>
      </c>
      <c r="G26" s="963"/>
    </row>
    <row r="27" spans="1:7">
      <c r="A27" s="966" t="s">
        <v>1060</v>
      </c>
      <c r="B27" s="966"/>
      <c r="C27" s="965"/>
      <c r="D27" s="965"/>
      <c r="E27" s="965"/>
      <c r="F27" s="964">
        <v>1</v>
      </c>
      <c r="G27" s="963"/>
    </row>
    <row r="28" spans="1:7">
      <c r="A28" s="951"/>
      <c r="B28" s="951"/>
      <c r="C28" s="951"/>
      <c r="D28" s="951"/>
      <c r="E28" s="951"/>
      <c r="F28" s="962"/>
      <c r="G28" s="962"/>
    </row>
    <row r="29" spans="1:7">
      <c r="A29" s="951" t="s">
        <v>1059</v>
      </c>
      <c r="B29" s="951"/>
      <c r="C29" s="951"/>
      <c r="D29" s="951"/>
      <c r="E29" s="951"/>
      <c r="F29" s="951"/>
      <c r="G29" s="961" t="s">
        <v>1014</v>
      </c>
    </row>
    <row r="30" spans="1:7">
      <c r="A30" s="951"/>
      <c r="B30" s="951"/>
      <c r="C30" s="951"/>
      <c r="D30" s="951"/>
      <c r="E30" s="951"/>
      <c r="F30" s="951"/>
      <c r="G30" s="951"/>
    </row>
    <row r="31" spans="1:7">
      <c r="A31" s="951" t="s">
        <v>1058</v>
      </c>
      <c r="B31" s="951"/>
      <c r="C31" s="951"/>
      <c r="D31" s="951"/>
      <c r="E31" s="951"/>
      <c r="F31" s="951"/>
      <c r="G31" s="960" t="s">
        <v>1014</v>
      </c>
    </row>
    <row r="32" spans="1:7">
      <c r="A32" s="951"/>
      <c r="B32" s="951"/>
      <c r="C32" s="951"/>
      <c r="D32" s="951"/>
      <c r="E32" s="951"/>
      <c r="F32" s="951"/>
      <c r="G32" s="951"/>
    </row>
    <row r="33" spans="1:7">
      <c r="A33" s="951" t="s">
        <v>1057</v>
      </c>
      <c r="B33" s="951"/>
      <c r="C33" s="951"/>
      <c r="D33" s="951"/>
      <c r="E33" s="951"/>
      <c r="F33" s="958"/>
      <c r="G33" s="959">
        <v>7.93</v>
      </c>
    </row>
    <row r="34" spans="1:7">
      <c r="A34" s="951"/>
      <c r="B34" s="951"/>
      <c r="C34" s="951"/>
      <c r="D34" s="951"/>
      <c r="E34" s="951"/>
      <c r="F34" s="951"/>
      <c r="G34" s="951"/>
    </row>
    <row r="35" spans="1:7">
      <c r="A35" s="951" t="s">
        <v>1056</v>
      </c>
      <c r="B35" s="951"/>
      <c r="C35" s="951"/>
      <c r="D35" s="951"/>
      <c r="E35" s="951"/>
      <c r="F35" s="958"/>
      <c r="G35" s="957">
        <f>$F$25/$G$33</f>
        <v>16.519546027742749</v>
      </c>
    </row>
    <row r="36" spans="1:7">
      <c r="A36" s="951"/>
      <c r="B36" s="951"/>
      <c r="C36" s="951"/>
      <c r="D36" s="951"/>
      <c r="E36" s="951"/>
      <c r="F36" s="951"/>
      <c r="G36" s="951"/>
    </row>
    <row r="37" spans="1:7">
      <c r="A37" s="951" t="s">
        <v>1055</v>
      </c>
      <c r="B37" s="951"/>
      <c r="C37" s="951"/>
      <c r="D37" s="951"/>
      <c r="E37" s="951"/>
      <c r="F37" s="958"/>
      <c r="G37" s="957">
        <f>$F$25/($G$33*0.404685642)</f>
        <v>40.820687252706506</v>
      </c>
    </row>
    <row r="38" spans="1:7" ht="16" thickBot="1">
      <c r="A38" s="956"/>
      <c r="B38" s="956"/>
      <c r="C38" s="956"/>
      <c r="D38" s="956"/>
      <c r="E38" s="956"/>
      <c r="F38" s="956"/>
      <c r="G38" s="956"/>
    </row>
    <row r="39" spans="1:7" ht="16" thickBot="1">
      <c r="A39" s="955" t="s">
        <v>1054</v>
      </c>
      <c r="B39" s="954"/>
      <c r="C39" s="954"/>
      <c r="D39" s="954"/>
      <c r="E39" s="954"/>
      <c r="F39" s="953"/>
      <c r="G39" s="952">
        <f>$G$25/$G$33</f>
        <v>16263.177805800757</v>
      </c>
    </row>
    <row r="41" spans="1:7">
      <c r="A41" s="951" t="s">
        <v>1053</v>
      </c>
      <c r="B41" s="951"/>
      <c r="G41" s="950">
        <v>1</v>
      </c>
    </row>
    <row r="42" spans="1:7">
      <c r="G42" s="950"/>
    </row>
    <row r="43" spans="1:7">
      <c r="A43" s="951" t="s">
        <v>1052</v>
      </c>
      <c r="B43" s="951"/>
      <c r="G43" s="950">
        <v>0.1</v>
      </c>
    </row>
  </sheetData>
  <dataValidations count="1">
    <dataValidation type="list" allowBlank="1" showInputMessage="1" showErrorMessage="1" sqref="A5:B23" xr:uid="{241C627A-2625-4FC4-AA87-D96430D8F28C}">
      <formula1>References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39997558519241921"/>
    <pageSetUpPr fitToPage="1"/>
  </sheetPr>
  <dimension ref="A1:S45"/>
  <sheetViews>
    <sheetView workbookViewId="0">
      <selection activeCell="L1" sqref="L1:S1048576"/>
    </sheetView>
  </sheetViews>
  <sheetFormatPr baseColWidth="10" defaultColWidth="8.83203125" defaultRowHeight="15"/>
  <cols>
    <col min="1" max="1" width="4" customWidth="1"/>
    <col min="7" max="7" width="9.33203125" bestFit="1" customWidth="1"/>
    <col min="8" max="8" width="6.5" customWidth="1"/>
    <col min="9" max="9" width="11.6640625" customWidth="1"/>
    <col min="10" max="10" width="14" customWidth="1"/>
    <col min="11" max="11" width="1.83203125" customWidth="1"/>
    <col min="12" max="19" width="11.6640625" hidden="1" customWidth="1"/>
  </cols>
  <sheetData>
    <row r="1" spans="1:19" s="1" customFormat="1"/>
    <row r="2" spans="1:19" s="1" customFormat="1" ht="16.5" customHeight="1">
      <c r="B2" s="1" t="str">
        <f>'Breakdown Summary'!B2</f>
        <v>Trows Farm, Castleton</v>
      </c>
      <c r="G2" s="1" t="str">
        <f>'Breakdown Summary'!G2</f>
        <v>Date</v>
      </c>
      <c r="H2" s="1045">
        <f>'Breakdown Summary'!H2</f>
        <v>45453</v>
      </c>
      <c r="I2" s="1045"/>
      <c r="J2" s="1" t="str">
        <f>'Breakdown Summary'!J2</f>
        <v>Ver - 6</v>
      </c>
      <c r="S2" s="49"/>
    </row>
    <row r="3" spans="1:19" s="1" customFormat="1">
      <c r="G3" s="1" t="str">
        <f>'Breakdown Summary'!H3</f>
        <v>Breakdown of Abnormal Costs</v>
      </c>
    </row>
    <row r="4" spans="1:19" s="1" customFormat="1" ht="15" customHeight="1"/>
    <row r="5" spans="1:19" s="1" customFormat="1">
      <c r="A5" s="1046" t="s">
        <v>0</v>
      </c>
      <c r="B5" s="1054" t="s">
        <v>1</v>
      </c>
      <c r="C5" s="1055"/>
      <c r="D5" s="1055"/>
      <c r="E5" s="1055"/>
      <c r="F5" s="1056"/>
      <c r="G5" s="1046" t="s">
        <v>6</v>
      </c>
      <c r="H5" s="1046" t="s">
        <v>5</v>
      </c>
      <c r="I5" s="1046" t="s">
        <v>2</v>
      </c>
      <c r="J5" s="1046" t="s">
        <v>3</v>
      </c>
      <c r="L5" s="1124" t="str">
        <f>'Breakdown Summary'!L5:S5</f>
        <v>Phasing Breakdown</v>
      </c>
      <c r="M5" s="1125"/>
      <c r="N5" s="1125"/>
      <c r="O5" s="1125"/>
      <c r="P5" s="1125"/>
      <c r="Q5" s="1125"/>
      <c r="R5" s="1125"/>
      <c r="S5" s="1126"/>
    </row>
    <row r="6" spans="1:19" s="1" customFormat="1" ht="15" customHeight="1">
      <c r="A6" s="1047"/>
      <c r="B6" s="1057"/>
      <c r="C6" s="1058"/>
      <c r="D6" s="1058"/>
      <c r="E6" s="1058"/>
      <c r="F6" s="1059"/>
      <c r="G6" s="1047"/>
      <c r="H6" s="1047"/>
      <c r="I6" s="1047"/>
      <c r="J6" s="1047"/>
      <c r="L6" s="1127" t="str">
        <f>'Breakdown Summary'!L6</f>
        <v>Site 1</v>
      </c>
      <c r="M6" s="1128"/>
      <c r="N6" s="1127">
        <f>'Breakdown Summary'!N6</f>
        <v>0</v>
      </c>
      <c r="O6" s="1128"/>
      <c r="P6" s="1063">
        <f>'Breakdown Summary'!P6:P7</f>
        <v>0</v>
      </c>
      <c r="Q6" s="1063">
        <f>'Breakdown Summary'!Q6:Q7</f>
        <v>0</v>
      </c>
      <c r="R6" s="1063">
        <f>'Breakdown Summary'!R6:R7</f>
        <v>0</v>
      </c>
      <c r="S6" s="1063">
        <f>'Breakdown Summary'!S6:S7</f>
        <v>0</v>
      </c>
    </row>
    <row r="7" spans="1:19">
      <c r="A7" s="1047"/>
      <c r="B7" s="1057"/>
      <c r="C7" s="1058"/>
      <c r="D7" s="1058"/>
      <c r="E7" s="1058"/>
      <c r="F7" s="1059"/>
      <c r="G7" s="1047"/>
      <c r="H7" s="1047"/>
      <c r="I7" s="1047"/>
      <c r="J7" s="1047"/>
      <c r="L7" s="59" t="str">
        <f>'Breakdown Summary'!L7</f>
        <v>Barratt</v>
      </c>
      <c r="M7" s="59" t="str">
        <f>'Breakdown Summary'!M7</f>
        <v>David Wilson</v>
      </c>
      <c r="N7" s="59" t="str">
        <f>'Breakdown Summary'!N7</f>
        <v>Phs</v>
      </c>
      <c r="O7" s="59" t="str">
        <f>'Breakdown Summary'!O7</f>
        <v>Phs</v>
      </c>
      <c r="P7" s="1064"/>
      <c r="Q7" s="1064"/>
      <c r="R7" s="1064"/>
      <c r="S7" s="1064"/>
    </row>
    <row r="8" spans="1:19">
      <c r="A8" s="1047"/>
      <c r="B8" s="1057"/>
      <c r="C8" s="1058"/>
      <c r="D8" s="1058"/>
      <c r="E8" s="1058"/>
      <c r="F8" s="1059"/>
      <c r="G8" s="1047"/>
      <c r="H8" s="1047"/>
      <c r="I8" s="1047"/>
      <c r="J8" s="1047"/>
      <c r="L8" s="244">
        <f>'Breakdown Summary'!L8</f>
        <v>302</v>
      </c>
      <c r="M8" s="244">
        <f>'Breakdown Summary'!M8</f>
        <v>143</v>
      </c>
      <c r="N8" s="244">
        <f>'Breakdown Summary'!N8</f>
        <v>0</v>
      </c>
      <c r="O8" s="244">
        <f>'Breakdown Summary'!O8</f>
        <v>0</v>
      </c>
      <c r="P8" s="1064"/>
      <c r="Q8" s="1064"/>
      <c r="R8" s="1064"/>
      <c r="S8" s="1064"/>
    </row>
    <row r="9" spans="1:19">
      <c r="A9" s="1047"/>
      <c r="B9" s="1057"/>
      <c r="C9" s="1058"/>
      <c r="D9" s="1058"/>
      <c r="E9" s="1058"/>
      <c r="F9" s="1059"/>
      <c r="G9" s="1047"/>
      <c r="H9" s="1047"/>
      <c r="I9" s="1047"/>
      <c r="J9" s="1047"/>
      <c r="L9" s="245">
        <f>'Breakdown Summary'!L9</f>
        <v>0</v>
      </c>
      <c r="M9" s="245">
        <f>'Breakdown Summary'!M9</f>
        <v>0</v>
      </c>
      <c r="N9" s="245">
        <f>'Breakdown Summary'!N9</f>
        <v>0</v>
      </c>
      <c r="O9" s="245">
        <f>'Breakdown Summary'!O9</f>
        <v>0</v>
      </c>
      <c r="P9" s="1064"/>
      <c r="Q9" s="1064"/>
      <c r="R9" s="1064"/>
      <c r="S9" s="1064"/>
    </row>
    <row r="10" spans="1:19">
      <c r="A10" s="1047"/>
      <c r="B10" s="1057"/>
      <c r="C10" s="1058"/>
      <c r="D10" s="1058"/>
      <c r="E10" s="1058"/>
      <c r="F10" s="1059"/>
      <c r="G10" s="1047"/>
      <c r="H10" s="1047"/>
      <c r="I10" s="1047"/>
      <c r="J10" s="1047"/>
      <c r="L10" s="62">
        <f>'Breakdown Summary'!L10</f>
        <v>309398</v>
      </c>
      <c r="M10" s="62">
        <f>'Breakdown Summary'!M10</f>
        <v>164228</v>
      </c>
      <c r="N10" s="62">
        <f>'Breakdown Summary'!N10</f>
        <v>0</v>
      </c>
      <c r="O10" s="62">
        <f>'Breakdown Summary'!O10</f>
        <v>0</v>
      </c>
      <c r="P10" s="1065"/>
      <c r="Q10" s="1065"/>
      <c r="R10" s="1065"/>
      <c r="S10" s="1065"/>
    </row>
    <row r="11" spans="1:19">
      <c r="A11" s="1047"/>
      <c r="B11" s="1057"/>
      <c r="C11" s="1058"/>
      <c r="D11" s="1058"/>
      <c r="E11" s="1058"/>
      <c r="F11" s="1059"/>
      <c r="G11" s="1047"/>
      <c r="H11" s="1047"/>
      <c r="I11" s="1047"/>
      <c r="J11" s="1047"/>
      <c r="L11" s="242">
        <f>'Breakdown Summary'!L11</f>
        <v>0</v>
      </c>
      <c r="M11" s="242">
        <f>'Breakdown Summary'!M11</f>
        <v>0</v>
      </c>
      <c r="N11" s="242">
        <f>'Breakdown Summary'!N11</f>
        <v>0</v>
      </c>
      <c r="O11" s="242">
        <f>'Breakdown Summary'!O11</f>
        <v>0</v>
      </c>
      <c r="P11" s="59"/>
      <c r="Q11" s="235"/>
      <c r="R11" s="235"/>
      <c r="S11" s="235"/>
    </row>
    <row r="12" spans="1:19">
      <c r="A12" s="1047"/>
      <c r="B12" s="1057"/>
      <c r="C12" s="1058"/>
      <c r="D12" s="1058"/>
      <c r="E12" s="1058"/>
      <c r="F12" s="1059"/>
      <c r="G12" s="1047"/>
      <c r="H12" s="1047"/>
      <c r="I12" s="1047"/>
      <c r="J12" s="1047"/>
      <c r="L12" s="242">
        <f>'Breakdown Summary'!L12</f>
        <v>19.928803756796839</v>
      </c>
      <c r="M12" s="242">
        <f>'Breakdown Summary'!M12</f>
        <v>0.21008403361344463</v>
      </c>
      <c r="N12" s="242">
        <f>'Breakdown Summary'!N12</f>
        <v>0</v>
      </c>
      <c r="O12" s="242">
        <f>'Breakdown Summary'!O12</f>
        <v>0</v>
      </c>
      <c r="P12" s="59"/>
      <c r="Q12" s="235"/>
      <c r="R12" s="235"/>
      <c r="S12" s="235"/>
    </row>
    <row r="13" spans="1:19" s="1" customFormat="1" ht="31" customHeight="1">
      <c r="A13" s="1048"/>
      <c r="B13" s="1060"/>
      <c r="C13" s="1061"/>
      <c r="D13" s="1061"/>
      <c r="E13" s="1061"/>
      <c r="F13" s="1062"/>
      <c r="G13" s="1048"/>
      <c r="H13" s="1048"/>
      <c r="I13" s="1048"/>
      <c r="J13" s="1048"/>
      <c r="L13" s="242">
        <f>'Breakdown Summary'!L13</f>
        <v>19.11</v>
      </c>
      <c r="M13" s="242">
        <f>'Breakdown Summary'!M13</f>
        <v>10.009886307464162</v>
      </c>
      <c r="N13" s="242">
        <f>'Breakdown Summary'!N13</f>
        <v>0</v>
      </c>
      <c r="O13" s="242">
        <f>'Breakdown Summary'!O13</f>
        <v>0</v>
      </c>
      <c r="P13" s="62"/>
      <c r="Q13" s="60"/>
      <c r="R13" s="61"/>
      <c r="S13" s="61"/>
    </row>
    <row r="14" spans="1:19">
      <c r="A14" s="16"/>
      <c r="B14" s="3"/>
      <c r="C14" s="4"/>
      <c r="D14" s="4"/>
      <c r="E14" s="4"/>
      <c r="F14" s="5"/>
      <c r="G14" s="11"/>
      <c r="H14" s="12"/>
      <c r="I14" s="21"/>
      <c r="J14" s="12"/>
      <c r="L14" s="3"/>
      <c r="M14" s="58"/>
      <c r="N14" s="4"/>
      <c r="O14" s="58"/>
      <c r="P14" s="4"/>
      <c r="Q14" s="58"/>
      <c r="R14" s="58"/>
      <c r="S14" s="5"/>
    </row>
    <row r="15" spans="1:19">
      <c r="A15" s="19">
        <v>1</v>
      </c>
      <c r="B15" s="250" t="s">
        <v>248</v>
      </c>
      <c r="C15" s="246"/>
      <c r="F15" s="7"/>
      <c r="G15" s="11"/>
      <c r="H15" s="13"/>
      <c r="I15" s="21"/>
      <c r="J15" s="13"/>
      <c r="L15" s="6"/>
      <c r="M15" s="2"/>
      <c r="O15" s="2"/>
      <c r="Q15" s="2"/>
      <c r="R15" s="2"/>
      <c r="S15" s="7"/>
    </row>
    <row r="16" spans="1:19">
      <c r="A16" s="19"/>
      <c r="B16" s="246"/>
      <c r="C16" s="246"/>
      <c r="F16" s="7"/>
      <c r="G16" s="11"/>
      <c r="H16" s="13"/>
      <c r="I16" s="21"/>
      <c r="J16" s="13"/>
      <c r="L16" s="6"/>
      <c r="M16" s="2"/>
      <c r="O16" s="2"/>
      <c r="Q16" s="2"/>
      <c r="R16" s="2"/>
      <c r="S16" s="7"/>
    </row>
    <row r="17" spans="1:19" ht="15" customHeight="1">
      <c r="A17" s="19"/>
      <c r="B17" s="246" t="s">
        <v>605</v>
      </c>
      <c r="F17" s="7"/>
      <c r="G17" s="11"/>
      <c r="H17" s="13"/>
      <c r="I17" s="21"/>
      <c r="J17" s="13"/>
      <c r="L17" s="6"/>
      <c r="M17" s="2"/>
      <c r="O17" s="2"/>
      <c r="Q17" s="2"/>
      <c r="R17" s="2"/>
      <c r="S17" s="7"/>
    </row>
    <row r="18" spans="1:19">
      <c r="A18" s="19"/>
      <c r="B18" s="246"/>
      <c r="F18" s="7"/>
      <c r="G18" s="11"/>
      <c r="H18" s="13"/>
      <c r="I18" s="21"/>
      <c r="J18" s="13"/>
      <c r="L18" s="6"/>
      <c r="M18" s="2"/>
      <c r="O18" s="2"/>
      <c r="Q18" s="2"/>
      <c r="R18" s="2"/>
      <c r="S18" s="7"/>
    </row>
    <row r="19" spans="1:19">
      <c r="A19" s="19"/>
      <c r="B19" s="246"/>
      <c r="E19" t="s">
        <v>258</v>
      </c>
      <c r="F19" s="7"/>
      <c r="G19" s="11"/>
      <c r="H19" s="13"/>
      <c r="I19" s="21"/>
      <c r="J19" s="13"/>
      <c r="L19" s="6"/>
      <c r="M19" s="2"/>
      <c r="O19" s="2"/>
      <c r="Q19" s="2"/>
      <c r="R19" s="2"/>
      <c r="S19" s="7"/>
    </row>
    <row r="20" spans="1:19">
      <c r="A20" s="17"/>
      <c r="B20" s="246"/>
      <c r="E20" t="s">
        <v>258</v>
      </c>
      <c r="F20" s="7"/>
      <c r="G20" s="11"/>
      <c r="H20" s="13"/>
      <c r="I20" s="21"/>
      <c r="J20" s="13"/>
      <c r="L20" s="6"/>
      <c r="M20" s="2"/>
      <c r="O20" s="2"/>
      <c r="Q20" s="2"/>
      <c r="R20" s="2"/>
      <c r="S20" s="7"/>
    </row>
    <row r="21" spans="1:19">
      <c r="A21" s="17"/>
      <c r="B21" s="246"/>
      <c r="E21" t="s">
        <v>258</v>
      </c>
      <c r="F21" s="7"/>
      <c r="G21" s="11"/>
      <c r="H21" s="13"/>
      <c r="I21" s="21"/>
      <c r="J21" s="13"/>
      <c r="L21" s="6"/>
      <c r="M21" s="2"/>
      <c r="O21" s="2"/>
      <c r="Q21" s="2"/>
      <c r="R21" s="2"/>
      <c r="S21" s="7"/>
    </row>
    <row r="22" spans="1:19">
      <c r="A22" s="17"/>
      <c r="B22" s="246"/>
      <c r="E22" t="s">
        <v>258</v>
      </c>
      <c r="F22" s="7"/>
      <c r="G22" s="11"/>
      <c r="H22" s="13"/>
      <c r="I22" s="21"/>
      <c r="J22" s="13"/>
      <c r="L22" s="6"/>
      <c r="M22" s="2"/>
      <c r="O22" s="2"/>
      <c r="Q22" s="2"/>
      <c r="R22" s="2"/>
      <c r="S22" s="7"/>
    </row>
    <row r="23" spans="1:19">
      <c r="A23" s="17"/>
      <c r="B23" s="246"/>
      <c r="E23" t="s">
        <v>258</v>
      </c>
      <c r="F23" s="7"/>
      <c r="G23" s="11"/>
      <c r="H23" s="13"/>
      <c r="I23" s="21"/>
      <c r="J23" s="13"/>
      <c r="L23" s="6"/>
      <c r="M23" s="2"/>
      <c r="O23" s="2"/>
      <c r="Q23" s="2"/>
      <c r="R23" s="2"/>
      <c r="S23" s="7"/>
    </row>
    <row r="24" spans="1:19">
      <c r="A24" s="17"/>
      <c r="B24" s="20"/>
      <c r="E24" t="s">
        <v>258</v>
      </c>
      <c r="F24" s="7"/>
      <c r="G24" s="11"/>
      <c r="H24" s="13"/>
      <c r="I24" s="21"/>
      <c r="J24" s="13"/>
      <c r="L24" s="6"/>
      <c r="M24" s="2"/>
      <c r="O24" s="2"/>
      <c r="Q24" s="2"/>
      <c r="R24" s="2"/>
      <c r="S24" s="7"/>
    </row>
    <row r="25" spans="1:19">
      <c r="A25" s="17"/>
      <c r="B25" s="20"/>
      <c r="E25" t="s">
        <v>258</v>
      </c>
      <c r="F25" s="37"/>
      <c r="G25" s="11"/>
      <c r="H25" s="13"/>
      <c r="I25" s="21"/>
      <c r="J25" s="13"/>
      <c r="L25" s="6"/>
      <c r="M25" s="2"/>
      <c r="O25" s="2"/>
      <c r="Q25" s="2"/>
      <c r="R25" s="2"/>
      <c r="S25" s="7"/>
    </row>
    <row r="26" spans="1:19">
      <c r="A26" s="17"/>
      <c r="B26" s="20"/>
      <c r="E26" s="29"/>
      <c r="F26" s="37"/>
      <c r="G26" s="11"/>
      <c r="H26" s="13"/>
      <c r="I26" s="21"/>
      <c r="J26" s="13"/>
      <c r="L26" s="6"/>
      <c r="M26" s="2"/>
      <c r="O26" s="2"/>
      <c r="Q26" s="2"/>
      <c r="R26" s="2"/>
      <c r="S26" s="7"/>
    </row>
    <row r="27" spans="1:19" ht="15" customHeight="1">
      <c r="A27" s="17"/>
      <c r="B27" s="28"/>
      <c r="E27" s="29"/>
      <c r="F27" s="37"/>
      <c r="G27" s="11"/>
      <c r="H27" s="13"/>
      <c r="I27" s="21"/>
      <c r="J27" s="13"/>
      <c r="L27" s="6"/>
      <c r="M27" s="2"/>
      <c r="O27" s="2"/>
      <c r="Q27" s="2"/>
      <c r="R27" s="2"/>
      <c r="S27" s="7"/>
    </row>
    <row r="28" spans="1:19">
      <c r="A28" s="17"/>
      <c r="B28" s="246" t="s">
        <v>606</v>
      </c>
      <c r="E28" s="29"/>
      <c r="F28" s="37"/>
      <c r="G28" s="11"/>
      <c r="H28" s="13"/>
      <c r="I28" s="21"/>
      <c r="J28" s="13"/>
      <c r="L28" s="6"/>
      <c r="M28" s="2"/>
      <c r="O28" s="2"/>
      <c r="Q28" s="2"/>
      <c r="R28" s="2"/>
      <c r="S28" s="7"/>
    </row>
    <row r="29" spans="1:19">
      <c r="A29" s="17"/>
      <c r="B29" s="246"/>
      <c r="E29" s="29"/>
      <c r="F29" s="37"/>
      <c r="G29" s="11"/>
      <c r="H29" s="13"/>
      <c r="I29" s="21"/>
      <c r="J29" s="13"/>
      <c r="L29" s="6"/>
      <c r="M29" s="2"/>
      <c r="O29" s="2"/>
      <c r="Q29" s="2"/>
      <c r="R29" s="2"/>
      <c r="S29" s="7"/>
    </row>
    <row r="30" spans="1:19">
      <c r="A30" s="17"/>
      <c r="B30" s="246"/>
      <c r="E30" t="s">
        <v>258</v>
      </c>
      <c r="F30" s="37"/>
      <c r="G30" s="11"/>
      <c r="H30" s="13"/>
      <c r="I30" s="21"/>
      <c r="J30" s="13"/>
      <c r="L30" s="6"/>
      <c r="M30" s="2"/>
      <c r="O30" s="2"/>
      <c r="Q30" s="2"/>
      <c r="R30" s="2"/>
      <c r="S30" s="7"/>
    </row>
    <row r="31" spans="1:19">
      <c r="A31" s="17"/>
      <c r="B31" s="246"/>
      <c r="E31" t="s">
        <v>258</v>
      </c>
      <c r="F31" s="37"/>
      <c r="G31" s="11"/>
      <c r="H31" s="13"/>
      <c r="I31" s="21"/>
      <c r="J31" s="13"/>
      <c r="L31" s="6"/>
      <c r="M31" s="2"/>
      <c r="O31" s="2"/>
      <c r="Q31" s="2"/>
      <c r="R31" s="2"/>
      <c r="S31" s="7"/>
    </row>
    <row r="32" spans="1:19">
      <c r="A32" s="17"/>
      <c r="B32" s="246"/>
      <c r="E32" t="s">
        <v>258</v>
      </c>
      <c r="F32" s="37"/>
      <c r="G32" s="11"/>
      <c r="H32" s="13"/>
      <c r="I32" s="21"/>
      <c r="J32" s="13"/>
      <c r="L32" s="6"/>
      <c r="M32" s="2"/>
      <c r="O32" s="2"/>
      <c r="Q32" s="2"/>
      <c r="R32" s="2"/>
      <c r="S32" s="7"/>
    </row>
    <row r="33" spans="1:19">
      <c r="A33" s="17"/>
      <c r="B33" s="246"/>
      <c r="E33" t="s">
        <v>258</v>
      </c>
      <c r="F33" s="37"/>
      <c r="G33" s="11"/>
      <c r="H33" s="13"/>
      <c r="I33" s="21"/>
      <c r="J33" s="13"/>
      <c r="L33" s="6"/>
      <c r="M33" s="2"/>
      <c r="O33" s="2"/>
      <c r="Q33" s="2"/>
      <c r="R33" s="2"/>
      <c r="S33" s="7"/>
    </row>
    <row r="34" spans="1:19">
      <c r="A34" s="17"/>
      <c r="B34" s="246"/>
      <c r="E34" t="s">
        <v>258</v>
      </c>
      <c r="F34" s="37"/>
      <c r="G34" s="11"/>
      <c r="H34" s="13"/>
      <c r="I34" s="21"/>
      <c r="J34" s="13"/>
      <c r="L34" s="6"/>
      <c r="M34" s="2"/>
      <c r="O34" s="2"/>
      <c r="Q34" s="2"/>
      <c r="R34" s="2"/>
      <c r="S34" s="7"/>
    </row>
    <row r="35" spans="1:19">
      <c r="A35" s="17"/>
      <c r="B35" s="20"/>
      <c r="E35" t="s">
        <v>258</v>
      </c>
      <c r="F35" s="53"/>
      <c r="G35" s="11"/>
      <c r="H35" s="13"/>
      <c r="I35" s="21"/>
      <c r="J35" s="13"/>
      <c r="L35" s="6"/>
      <c r="M35" s="2"/>
      <c r="O35" s="2"/>
      <c r="Q35" s="2"/>
      <c r="R35" s="2"/>
      <c r="S35" s="7"/>
    </row>
    <row r="36" spans="1:19">
      <c r="A36" s="17"/>
      <c r="B36" s="20"/>
      <c r="E36" t="s">
        <v>258</v>
      </c>
      <c r="F36" s="53"/>
      <c r="G36" s="11"/>
      <c r="H36" s="13"/>
      <c r="I36" s="21"/>
      <c r="J36" s="13"/>
      <c r="L36" s="6"/>
      <c r="M36" s="2"/>
      <c r="O36" s="2"/>
      <c r="Q36" s="2"/>
      <c r="R36" s="2"/>
      <c r="S36" s="7"/>
    </row>
    <row r="37" spans="1:19">
      <c r="A37" s="17"/>
      <c r="B37" s="44"/>
      <c r="E37" s="45"/>
      <c r="F37" s="53"/>
      <c r="G37" s="11"/>
      <c r="H37" s="13"/>
      <c r="I37" s="21"/>
      <c r="J37" s="13"/>
      <c r="L37" s="6"/>
      <c r="M37" s="2"/>
      <c r="O37" s="2"/>
      <c r="Q37" s="2"/>
      <c r="R37" s="2"/>
      <c r="S37" s="7"/>
    </row>
    <row r="38" spans="1:19">
      <c r="A38" s="17"/>
      <c r="B38" s="44"/>
      <c r="C38" s="45"/>
      <c r="D38" s="45"/>
      <c r="E38" s="45"/>
      <c r="F38" s="53"/>
      <c r="G38" s="11"/>
      <c r="H38" s="13"/>
      <c r="I38" s="21"/>
      <c r="J38" s="13"/>
      <c r="L38" s="6"/>
      <c r="M38" s="2"/>
      <c r="O38" s="2"/>
      <c r="Q38" s="2"/>
      <c r="R38" s="2"/>
      <c r="S38" s="7"/>
    </row>
    <row r="39" spans="1:19">
      <c r="A39" s="17"/>
      <c r="B39" s="6"/>
      <c r="F39" s="7"/>
      <c r="G39" s="11"/>
      <c r="H39" s="13"/>
      <c r="I39" s="21"/>
      <c r="J39" s="13"/>
      <c r="L39" s="6"/>
      <c r="M39" s="2"/>
      <c r="O39" s="2"/>
      <c r="Q39" s="2"/>
      <c r="R39" s="2"/>
      <c r="S39" s="7"/>
    </row>
    <row r="40" spans="1:19">
      <c r="A40" s="17"/>
      <c r="B40" s="6"/>
      <c r="F40" s="36"/>
      <c r="G40" s="11"/>
      <c r="H40" s="13"/>
      <c r="I40" s="48"/>
      <c r="J40" s="13"/>
      <c r="L40" s="6"/>
      <c r="M40" s="2"/>
      <c r="O40" s="2"/>
      <c r="Q40" s="2"/>
      <c r="R40" s="2"/>
      <c r="S40" s="7"/>
    </row>
    <row r="41" spans="1:19">
      <c r="A41" s="17"/>
      <c r="B41" s="6"/>
      <c r="F41" s="36"/>
      <c r="G41" s="11"/>
      <c r="H41" s="13"/>
      <c r="I41" s="21"/>
      <c r="J41" s="13"/>
      <c r="L41" s="6"/>
      <c r="M41" s="2"/>
      <c r="O41" s="2"/>
      <c r="Q41" s="2"/>
      <c r="R41" s="2"/>
      <c r="S41" s="7"/>
    </row>
    <row r="42" spans="1:19">
      <c r="A42" s="17"/>
      <c r="B42" s="6"/>
      <c r="F42" s="36"/>
      <c r="G42" s="11"/>
      <c r="H42" s="13"/>
      <c r="I42" s="21"/>
      <c r="J42" s="13"/>
      <c r="L42" s="6"/>
      <c r="M42" s="2"/>
      <c r="O42" s="2"/>
      <c r="Q42" s="2"/>
      <c r="R42" s="2"/>
      <c r="S42" s="7"/>
    </row>
    <row r="43" spans="1:19">
      <c r="A43" s="17"/>
      <c r="B43" s="6"/>
      <c r="F43" s="7"/>
      <c r="G43" s="11"/>
      <c r="H43" s="13"/>
      <c r="I43" s="21"/>
      <c r="J43" s="13"/>
      <c r="L43" s="6"/>
      <c r="M43" s="2"/>
      <c r="O43" s="2"/>
      <c r="Q43" s="2"/>
      <c r="R43" s="2"/>
      <c r="S43" s="7"/>
    </row>
    <row r="44" spans="1:19" ht="16" thickBot="1">
      <c r="A44" s="17"/>
      <c r="B44" s="6"/>
      <c r="F44" s="259"/>
      <c r="G44" s="11"/>
      <c r="H44" s="13"/>
      <c r="I44" s="21"/>
      <c r="J44" s="47">
        <f>SUM(J14:J43)</f>
        <v>0</v>
      </c>
      <c r="L44" s="47">
        <f>SUM(L14:L43)</f>
        <v>0</v>
      </c>
      <c r="M44" s="47">
        <f t="shared" ref="M44:S44" si="0">SUM(M14:M43)</f>
        <v>0</v>
      </c>
      <c r="N44" s="47">
        <f t="shared" si="0"/>
        <v>0</v>
      </c>
      <c r="O44" s="47">
        <f t="shared" si="0"/>
        <v>0</v>
      </c>
      <c r="P44" s="47">
        <f t="shared" si="0"/>
        <v>0</v>
      </c>
      <c r="Q44" s="47">
        <f t="shared" si="0"/>
        <v>0</v>
      </c>
      <c r="R44" s="47">
        <f t="shared" si="0"/>
        <v>0</v>
      </c>
      <c r="S44" s="47">
        <f t="shared" si="0"/>
        <v>0</v>
      </c>
    </row>
    <row r="45" spans="1:19">
      <c r="A45" s="18"/>
      <c r="B45" s="8"/>
      <c r="C45" s="9"/>
      <c r="D45" s="9"/>
      <c r="E45" s="9"/>
      <c r="F45" s="10"/>
      <c r="G45" s="14"/>
      <c r="H45" s="15"/>
      <c r="I45" s="23"/>
      <c r="J45" s="15"/>
      <c r="L45" s="8"/>
      <c r="M45" s="63"/>
      <c r="N45" s="9"/>
      <c r="O45" s="63"/>
      <c r="P45" s="9"/>
      <c r="Q45" s="63"/>
      <c r="R45" s="63"/>
      <c r="S45" s="10"/>
    </row>
  </sheetData>
  <mergeCells count="14">
    <mergeCell ref="H2:I2"/>
    <mergeCell ref="A5:A13"/>
    <mergeCell ref="B5:F13"/>
    <mergeCell ref="G5:G13"/>
    <mergeCell ref="H5:H13"/>
    <mergeCell ref="I5:I13"/>
    <mergeCell ref="J5:J13"/>
    <mergeCell ref="L5:S5"/>
    <mergeCell ref="L6:M6"/>
    <mergeCell ref="N6:O6"/>
    <mergeCell ref="P6:P10"/>
    <mergeCell ref="Q6:Q10"/>
    <mergeCell ref="R6:R10"/>
    <mergeCell ref="S6:S10"/>
  </mergeCells>
  <printOptions horizontalCentered="1"/>
  <pageMargins left="0.261811024" right="0.511811024" top="0.55118110200000003" bottom="0.55118110200000003" header="0.31496062992126" footer="0.31496062992126"/>
  <pageSetup paperSize="9" scale="5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0.39997558519241921"/>
    <pageSetUpPr fitToPage="1"/>
  </sheetPr>
  <dimension ref="A1:AC177"/>
  <sheetViews>
    <sheetView workbookViewId="0">
      <selection activeCell="L1" sqref="L1:S1048576"/>
    </sheetView>
  </sheetViews>
  <sheetFormatPr baseColWidth="10" defaultColWidth="8.83203125" defaultRowHeight="15"/>
  <cols>
    <col min="1" max="1" width="16.1640625" customWidth="1"/>
    <col min="3" max="3" width="10.5" customWidth="1"/>
    <col min="4" max="5" width="16.5" customWidth="1"/>
    <col min="6" max="6" width="25.6640625" customWidth="1"/>
    <col min="7" max="7" width="21.5" customWidth="1"/>
    <col min="8" max="8" width="17.5" customWidth="1"/>
    <col min="10" max="10" width="14.83203125" customWidth="1"/>
    <col min="11" max="11" width="1.83203125" customWidth="1"/>
    <col min="12" max="12" width="14.6640625" hidden="1" customWidth="1"/>
    <col min="13" max="19" width="11.6640625" hidden="1" customWidth="1"/>
    <col min="23" max="23" width="14" customWidth="1"/>
    <col min="24" max="24" width="11" customWidth="1"/>
    <col min="25" max="26" width="10" customWidth="1"/>
    <col min="27" max="27" width="11" customWidth="1"/>
    <col min="28" max="29" width="10" customWidth="1"/>
  </cols>
  <sheetData>
    <row r="1" spans="1:29">
      <c r="A1" t="str">
        <f>'Breakdown Summary'!B2</f>
        <v>Trows Farm, Castleton</v>
      </c>
    </row>
    <row r="3" spans="1:29" ht="16">
      <c r="A3" s="1" t="s">
        <v>22</v>
      </c>
      <c r="G3" s="49"/>
      <c r="K3" s="1"/>
      <c r="L3" s="1"/>
      <c r="M3" s="1"/>
      <c r="N3" s="1"/>
      <c r="O3" s="1"/>
      <c r="P3" s="1"/>
      <c r="Q3" s="1"/>
      <c r="R3" s="1"/>
      <c r="S3" s="1"/>
      <c r="T3" s="1"/>
      <c r="W3" s="672" t="s">
        <v>608</v>
      </c>
      <c r="X3" s="1131" t="s">
        <v>609</v>
      </c>
      <c r="Y3" s="1131"/>
      <c r="Z3" s="1131"/>
      <c r="AA3" s="1132" t="s">
        <v>610</v>
      </c>
      <c r="AB3" s="1131"/>
      <c r="AC3" s="1133"/>
    </row>
    <row r="4" spans="1:29">
      <c r="G4" s="79" t="s">
        <v>672</v>
      </c>
      <c r="H4" s="72"/>
      <c r="K4" s="1"/>
      <c r="L4" s="1"/>
      <c r="M4" s="1"/>
      <c r="N4" s="1"/>
      <c r="O4" s="1"/>
      <c r="P4" s="1"/>
      <c r="Q4" s="1"/>
      <c r="R4" s="1"/>
      <c r="S4" s="49"/>
      <c r="T4" s="1"/>
      <c r="W4" s="673" t="s">
        <v>611</v>
      </c>
      <c r="X4" t="s">
        <v>612</v>
      </c>
      <c r="Z4" t="s">
        <v>613</v>
      </c>
      <c r="AA4" s="674" t="s">
        <v>614</v>
      </c>
      <c r="AC4" s="675" t="s">
        <v>615</v>
      </c>
    </row>
    <row r="5" spans="1:29">
      <c r="G5" s="79"/>
      <c r="H5" s="72"/>
      <c r="K5" s="1"/>
      <c r="L5" s="1"/>
      <c r="M5" s="1"/>
      <c r="N5" s="1"/>
      <c r="O5" s="1"/>
      <c r="P5" s="1"/>
      <c r="Q5" s="1"/>
      <c r="R5" s="1"/>
      <c r="S5" s="1"/>
      <c r="T5" s="1"/>
      <c r="W5" s="673" t="s">
        <v>616</v>
      </c>
      <c r="X5" s="1134" t="s">
        <v>617</v>
      </c>
      <c r="Y5" s="1134"/>
      <c r="Z5" s="1134"/>
      <c r="AA5" s="1135" t="s">
        <v>617</v>
      </c>
      <c r="AB5" s="1134"/>
      <c r="AC5" s="1136"/>
    </row>
    <row r="6" spans="1:29">
      <c r="G6" s="79" t="s">
        <v>23</v>
      </c>
      <c r="H6" s="196"/>
      <c r="K6" s="1"/>
      <c r="L6" s="1"/>
      <c r="M6" s="1"/>
      <c r="N6" s="1"/>
      <c r="O6" s="1"/>
      <c r="P6" s="1"/>
      <c r="Q6" s="1"/>
      <c r="R6" s="1"/>
      <c r="S6" s="1"/>
      <c r="T6" s="1"/>
      <c r="W6" s="673" t="s">
        <v>618</v>
      </c>
      <c r="X6" t="s">
        <v>619</v>
      </c>
      <c r="AA6" s="674" t="s">
        <v>620</v>
      </c>
      <c r="AC6" s="675"/>
    </row>
    <row r="7" spans="1:29">
      <c r="G7" s="79" t="s">
        <v>24</v>
      </c>
      <c r="H7" s="196"/>
      <c r="K7" s="1"/>
      <c r="L7" s="1124" t="str">
        <f>'Breakdown Summary'!L5:S5</f>
        <v>Phasing Breakdown</v>
      </c>
      <c r="M7" s="1125"/>
      <c r="N7" s="1125"/>
      <c r="O7" s="1125"/>
      <c r="P7" s="1125"/>
      <c r="Q7" s="1125"/>
      <c r="R7" s="1125"/>
      <c r="S7" s="1126"/>
      <c r="T7" s="1"/>
      <c r="W7" s="673" t="s">
        <v>621</v>
      </c>
      <c r="X7" s="1137"/>
      <c r="Y7" s="1137"/>
      <c r="Z7" s="1137"/>
      <c r="AA7" s="1138"/>
      <c r="AB7" s="1137"/>
      <c r="AC7" s="1139"/>
    </row>
    <row r="8" spans="1:29" ht="15" customHeight="1">
      <c r="G8" s="79" t="s">
        <v>25</v>
      </c>
      <c r="H8" s="197"/>
      <c r="K8" s="1"/>
      <c r="L8" s="1127" t="str">
        <f>'Breakdown Summary'!L6</f>
        <v>Site 1</v>
      </c>
      <c r="M8" s="1128"/>
      <c r="N8" s="1127">
        <f>'Breakdown Summary'!N6</f>
        <v>0</v>
      </c>
      <c r="O8" s="1128"/>
      <c r="P8" s="1063" t="e">
        <f>'Breakdown Summary'!P6:P7</f>
        <v>#VALUE!</v>
      </c>
      <c r="Q8" s="1063" t="e">
        <f>'Breakdown Summary'!Q6:Q7</f>
        <v>#VALUE!</v>
      </c>
      <c r="R8" s="1063" t="e">
        <f>'Breakdown Summary'!R6:R7</f>
        <v>#VALUE!</v>
      </c>
      <c r="S8" s="1063" t="e">
        <f>'Breakdown Summary'!S6:S7</f>
        <v>#VALUE!</v>
      </c>
      <c r="T8" s="1"/>
      <c r="W8" s="674" t="s">
        <v>622</v>
      </c>
      <c r="X8" s="1129" t="s">
        <v>623</v>
      </c>
      <c r="Y8" s="1130"/>
      <c r="Z8" s="1130"/>
      <c r="AA8" s="674"/>
      <c r="AC8" s="675"/>
    </row>
    <row r="9" spans="1:29">
      <c r="A9" s="1" t="s">
        <v>670</v>
      </c>
      <c r="L9" s="59" t="str">
        <f>'Breakdown Summary'!L7</f>
        <v>Barratt</v>
      </c>
      <c r="M9" s="59" t="str">
        <f>'Breakdown Summary'!M7</f>
        <v>David Wilson</v>
      </c>
      <c r="N9" s="59" t="str">
        <f>'Breakdown Summary'!N7</f>
        <v>Phs</v>
      </c>
      <c r="O9" s="59" t="str">
        <f>'Breakdown Summary'!O7</f>
        <v>Phs</v>
      </c>
      <c r="P9" s="1065"/>
      <c r="Q9" s="1065"/>
      <c r="R9" s="1065"/>
      <c r="S9" s="1065"/>
      <c r="W9" s="676" t="s">
        <v>33</v>
      </c>
      <c r="X9" s="677" t="s">
        <v>624</v>
      </c>
      <c r="Y9" s="677" t="s">
        <v>625</v>
      </c>
      <c r="Z9" s="677" t="s">
        <v>626</v>
      </c>
      <c r="AA9" s="678" t="s">
        <v>624</v>
      </c>
      <c r="AB9" s="678" t="s">
        <v>625</v>
      </c>
      <c r="AC9" s="679"/>
    </row>
    <row r="10" spans="1:29">
      <c r="A10" s="198" t="s">
        <v>26</v>
      </c>
      <c r="B10" s="692" t="s">
        <v>16</v>
      </c>
      <c r="C10" s="692" t="s">
        <v>27</v>
      </c>
      <c r="D10" s="198" t="s">
        <v>28</v>
      </c>
      <c r="E10" s="198" t="s">
        <v>29</v>
      </c>
      <c r="F10" s="198" t="s">
        <v>30</v>
      </c>
      <c r="G10" s="198" t="s">
        <v>31</v>
      </c>
      <c r="H10" s="198" t="s">
        <v>32</v>
      </c>
      <c r="K10" s="1"/>
      <c r="L10" s="242">
        <f>'Breakdown Summary'!L13</f>
        <v>19.11</v>
      </c>
      <c r="M10" s="242">
        <f>'Breakdown Summary'!M13</f>
        <v>10.009886307464162</v>
      </c>
      <c r="N10" s="242">
        <f>'Breakdown Summary'!N13</f>
        <v>0</v>
      </c>
      <c r="O10" s="242">
        <f>'Breakdown Summary'!O13</f>
        <v>0</v>
      </c>
      <c r="P10" s="62">
        <f>'Breakdown Summary'!P13</f>
        <v>0</v>
      </c>
      <c r="Q10" s="60"/>
      <c r="R10" s="61"/>
      <c r="S10" s="61"/>
      <c r="T10" s="1"/>
      <c r="W10" s="680">
        <v>40179</v>
      </c>
      <c r="X10" s="674"/>
      <c r="AA10" s="681">
        <v>288.8</v>
      </c>
      <c r="AB10" s="682" t="s">
        <v>627</v>
      </c>
      <c r="AC10" s="683" t="s">
        <v>481</v>
      </c>
    </row>
    <row r="11" spans="1:29">
      <c r="A11" s="2"/>
      <c r="B11" s="693"/>
      <c r="C11" s="17"/>
      <c r="D11" s="2"/>
      <c r="E11" s="2"/>
      <c r="F11" s="2">
        <f>SUM(D11:E11)</f>
        <v>0</v>
      </c>
      <c r="G11" s="2">
        <f>B11*F11</f>
        <v>0</v>
      </c>
      <c r="H11" s="694">
        <f>G11/10.764</f>
        <v>0</v>
      </c>
      <c r="L11" s="3"/>
      <c r="M11" s="58"/>
      <c r="N11" s="4"/>
      <c r="O11" s="58"/>
      <c r="P11" s="4"/>
      <c r="Q11" s="58"/>
      <c r="R11" s="58"/>
      <c r="S11" s="5"/>
      <c r="W11" s="680">
        <v>40210</v>
      </c>
      <c r="X11" s="684">
        <v>209</v>
      </c>
      <c r="Y11" s="682" t="s">
        <v>481</v>
      </c>
      <c r="Z11" s="682" t="s">
        <v>628</v>
      </c>
      <c r="AA11" s="681">
        <v>289.10000000000002</v>
      </c>
      <c r="AB11" s="682" t="s">
        <v>627</v>
      </c>
      <c r="AC11" s="683" t="s">
        <v>481</v>
      </c>
    </row>
    <row r="12" spans="1:29">
      <c r="A12" s="2"/>
      <c r="B12" s="693"/>
      <c r="C12" s="17"/>
      <c r="D12" s="2"/>
      <c r="E12" s="2"/>
      <c r="F12" s="2">
        <f>SUM(D12:E12)</f>
        <v>0</v>
      </c>
      <c r="G12" s="2">
        <f t="shared" ref="G12:G22" si="0">B12*F12</f>
        <v>0</v>
      </c>
      <c r="H12" s="694">
        <f t="shared" ref="H12:H22" si="1">G12/10.764</f>
        <v>0</v>
      </c>
      <c r="L12" s="6"/>
      <c r="M12" s="2"/>
      <c r="O12" s="2"/>
      <c r="Q12" s="2"/>
      <c r="R12" s="2"/>
      <c r="S12" s="7"/>
      <c r="W12" s="680">
        <v>40238</v>
      </c>
      <c r="X12" s="674"/>
      <c r="AA12" s="681">
        <v>290.3</v>
      </c>
      <c r="AB12" s="682" t="s">
        <v>627</v>
      </c>
      <c r="AC12" s="683" t="s">
        <v>481</v>
      </c>
    </row>
    <row r="13" spans="1:29">
      <c r="A13" s="2"/>
      <c r="B13" s="693"/>
      <c r="C13" s="17"/>
      <c r="D13" s="2"/>
      <c r="E13" s="2"/>
      <c r="F13" s="2">
        <f t="shared" ref="F13:F22" si="2">SUM(D13:E13)</f>
        <v>0</v>
      </c>
      <c r="G13" s="2">
        <f t="shared" si="0"/>
        <v>0</v>
      </c>
      <c r="H13" s="694">
        <f t="shared" si="1"/>
        <v>0</v>
      </c>
      <c r="L13" s="6"/>
      <c r="M13" s="2"/>
      <c r="O13" s="2"/>
      <c r="Q13" s="2"/>
      <c r="R13" s="2"/>
      <c r="S13" s="7"/>
      <c r="W13" s="680">
        <v>40269</v>
      </c>
      <c r="X13" s="674"/>
      <c r="AA13" s="681">
        <v>293</v>
      </c>
      <c r="AB13" s="682" t="s">
        <v>627</v>
      </c>
      <c r="AC13" s="683" t="s">
        <v>481</v>
      </c>
    </row>
    <row r="14" spans="1:29">
      <c r="A14" s="2"/>
      <c r="B14" s="693"/>
      <c r="C14" s="17"/>
      <c r="D14" s="2"/>
      <c r="E14" s="2"/>
      <c r="F14" s="2">
        <f t="shared" si="2"/>
        <v>0</v>
      </c>
      <c r="G14" s="2">
        <f t="shared" si="0"/>
        <v>0</v>
      </c>
      <c r="H14" s="694">
        <f t="shared" si="1"/>
        <v>0</v>
      </c>
      <c r="L14" s="6"/>
      <c r="M14" s="2"/>
      <c r="O14" s="2"/>
      <c r="Q14" s="2"/>
      <c r="R14" s="2"/>
      <c r="S14" s="7"/>
      <c r="W14" s="680">
        <v>40299</v>
      </c>
      <c r="X14" s="684">
        <v>218</v>
      </c>
      <c r="Y14" s="682" t="s">
        <v>481</v>
      </c>
      <c r="Z14" s="682" t="s">
        <v>629</v>
      </c>
      <c r="AA14" s="681">
        <v>295.7</v>
      </c>
      <c r="AB14" s="682" t="s">
        <v>627</v>
      </c>
      <c r="AC14" s="683" t="s">
        <v>481</v>
      </c>
    </row>
    <row r="15" spans="1:29">
      <c r="A15" s="2"/>
      <c r="B15" s="693"/>
      <c r="C15" s="17"/>
      <c r="D15" s="2"/>
      <c r="E15" s="2"/>
      <c r="F15" s="2">
        <f t="shared" si="2"/>
        <v>0</v>
      </c>
      <c r="G15" s="2">
        <f t="shared" si="0"/>
        <v>0</v>
      </c>
      <c r="H15" s="694">
        <f t="shared" si="1"/>
        <v>0</v>
      </c>
      <c r="L15" s="6"/>
      <c r="M15" s="2"/>
      <c r="O15" s="2"/>
      <c r="Q15" s="2"/>
      <c r="R15" s="2"/>
      <c r="S15" s="7"/>
      <c r="W15" s="680">
        <v>40330</v>
      </c>
      <c r="X15" s="674"/>
      <c r="AA15" s="681">
        <v>297.10000000000002</v>
      </c>
      <c r="AB15" s="682" t="s">
        <v>627</v>
      </c>
      <c r="AC15" s="683" t="s">
        <v>481</v>
      </c>
    </row>
    <row r="16" spans="1:29">
      <c r="A16" s="2"/>
      <c r="B16" s="693"/>
      <c r="C16" s="17"/>
      <c r="D16" s="2"/>
      <c r="E16" s="2"/>
      <c r="F16" s="2">
        <f t="shared" si="2"/>
        <v>0</v>
      </c>
      <c r="G16" s="2">
        <f t="shared" si="0"/>
        <v>0</v>
      </c>
      <c r="H16" s="694">
        <f t="shared" si="1"/>
        <v>0</v>
      </c>
      <c r="L16" s="6"/>
      <c r="M16" s="2"/>
      <c r="O16" s="2"/>
      <c r="Q16" s="2"/>
      <c r="R16" s="2"/>
      <c r="S16" s="7"/>
      <c r="W16" s="680">
        <v>40360</v>
      </c>
      <c r="X16" s="674"/>
      <c r="AA16" s="681">
        <v>297.8</v>
      </c>
      <c r="AB16" s="682" t="s">
        <v>627</v>
      </c>
      <c r="AC16" s="683" t="s">
        <v>481</v>
      </c>
    </row>
    <row r="17" spans="1:29">
      <c r="A17" s="2"/>
      <c r="B17" s="693"/>
      <c r="C17" s="17"/>
      <c r="D17" s="2"/>
      <c r="E17" s="2"/>
      <c r="F17" s="2">
        <f t="shared" si="2"/>
        <v>0</v>
      </c>
      <c r="G17" s="2">
        <f t="shared" si="0"/>
        <v>0</v>
      </c>
      <c r="H17" s="694">
        <f t="shared" si="1"/>
        <v>0</v>
      </c>
      <c r="L17" s="6"/>
      <c r="M17" s="2"/>
      <c r="O17" s="2"/>
      <c r="Q17" s="2"/>
      <c r="R17" s="2"/>
      <c r="S17" s="7"/>
      <c r="W17" s="680">
        <v>40391</v>
      </c>
      <c r="X17" s="684">
        <v>219</v>
      </c>
      <c r="Y17" s="682" t="s">
        <v>481</v>
      </c>
      <c r="Z17" s="682" t="s">
        <v>630</v>
      </c>
      <c r="AA17" s="681">
        <v>298</v>
      </c>
      <c r="AB17" s="682" t="s">
        <v>627</v>
      </c>
      <c r="AC17" s="683" t="s">
        <v>481</v>
      </c>
    </row>
    <row r="18" spans="1:29">
      <c r="A18" s="2"/>
      <c r="B18" s="693"/>
      <c r="C18" s="17"/>
      <c r="D18" s="2"/>
      <c r="E18" s="2"/>
      <c r="F18" s="2">
        <f t="shared" si="2"/>
        <v>0</v>
      </c>
      <c r="G18" s="2">
        <f t="shared" si="0"/>
        <v>0</v>
      </c>
      <c r="H18" s="694">
        <f t="shared" si="1"/>
        <v>0</v>
      </c>
      <c r="L18" s="6"/>
      <c r="M18" s="2"/>
      <c r="O18" s="2"/>
      <c r="Q18" s="2"/>
      <c r="R18" s="2"/>
      <c r="S18" s="7"/>
      <c r="W18" s="680">
        <v>40422</v>
      </c>
      <c r="X18" s="674"/>
      <c r="AA18" s="681">
        <v>298.60000000000002</v>
      </c>
      <c r="AB18" s="682" t="s">
        <v>627</v>
      </c>
      <c r="AC18" s="683" t="s">
        <v>481</v>
      </c>
    </row>
    <row r="19" spans="1:29">
      <c r="A19" s="2"/>
      <c r="B19" s="17"/>
      <c r="C19" s="17"/>
      <c r="D19" s="2"/>
      <c r="E19" s="695"/>
      <c r="F19" s="2">
        <f t="shared" si="2"/>
        <v>0</v>
      </c>
      <c r="G19" s="2">
        <f t="shared" si="0"/>
        <v>0</v>
      </c>
      <c r="H19" s="694">
        <f t="shared" si="1"/>
        <v>0</v>
      </c>
      <c r="L19" s="6"/>
      <c r="M19" s="2"/>
      <c r="O19" s="2"/>
      <c r="Q19" s="2"/>
      <c r="R19" s="2"/>
      <c r="S19" s="7"/>
      <c r="W19" s="680">
        <v>40452</v>
      </c>
      <c r="X19" s="674"/>
      <c r="AA19" s="681">
        <v>298.89999999999998</v>
      </c>
      <c r="AB19" s="682" t="s">
        <v>627</v>
      </c>
      <c r="AC19" s="683" t="s">
        <v>481</v>
      </c>
    </row>
    <row r="20" spans="1:29">
      <c r="A20" s="2"/>
      <c r="B20" s="17"/>
      <c r="C20" s="17"/>
      <c r="D20" s="2"/>
      <c r="E20" s="2"/>
      <c r="F20" s="2">
        <f t="shared" si="2"/>
        <v>0</v>
      </c>
      <c r="G20" s="2">
        <f t="shared" si="0"/>
        <v>0</v>
      </c>
      <c r="H20" s="694">
        <f t="shared" si="1"/>
        <v>0</v>
      </c>
      <c r="L20" s="6"/>
      <c r="M20" s="2"/>
      <c r="O20" s="2"/>
      <c r="Q20" s="2"/>
      <c r="R20" s="2"/>
      <c r="S20" s="7"/>
      <c r="W20" s="680">
        <v>40483</v>
      </c>
      <c r="X20" s="684">
        <v>220</v>
      </c>
      <c r="Y20" s="682" t="s">
        <v>481</v>
      </c>
      <c r="Z20" s="682" t="s">
        <v>631</v>
      </c>
      <c r="AA20" s="681">
        <v>299.10000000000002</v>
      </c>
      <c r="AB20" s="682" t="s">
        <v>627</v>
      </c>
      <c r="AC20" s="683" t="s">
        <v>481</v>
      </c>
    </row>
    <row r="21" spans="1:29">
      <c r="A21" s="2"/>
      <c r="B21" s="17"/>
      <c r="C21" s="17"/>
      <c r="D21" s="2"/>
      <c r="E21" s="2"/>
      <c r="F21" s="2">
        <f t="shared" si="2"/>
        <v>0</v>
      </c>
      <c r="G21" s="2">
        <f t="shared" si="0"/>
        <v>0</v>
      </c>
      <c r="H21" s="694">
        <f t="shared" si="1"/>
        <v>0</v>
      </c>
      <c r="L21" s="6"/>
      <c r="M21" s="2"/>
      <c r="O21" s="2"/>
      <c r="Q21" s="2"/>
      <c r="R21" s="2"/>
      <c r="S21" s="7"/>
      <c r="W21" s="680">
        <v>40513</v>
      </c>
      <c r="X21" s="674"/>
      <c r="AA21" s="681">
        <v>299.3</v>
      </c>
      <c r="AB21" s="682" t="s">
        <v>627</v>
      </c>
      <c r="AC21" s="683" t="s">
        <v>481</v>
      </c>
    </row>
    <row r="22" spans="1:29">
      <c r="A22" s="2"/>
      <c r="B22" s="17"/>
      <c r="C22" s="17"/>
      <c r="D22" s="2"/>
      <c r="E22" s="2"/>
      <c r="F22" s="2">
        <f t="shared" si="2"/>
        <v>0</v>
      </c>
      <c r="G22" s="2">
        <f t="shared" si="0"/>
        <v>0</v>
      </c>
      <c r="H22" s="694">
        <f t="shared" si="1"/>
        <v>0</v>
      </c>
      <c r="L22" s="6"/>
      <c r="M22" s="649"/>
      <c r="O22" s="2"/>
      <c r="Q22" s="2"/>
      <c r="R22" s="2"/>
      <c r="S22" s="7"/>
      <c r="W22" s="680">
        <v>40544</v>
      </c>
      <c r="X22" s="674"/>
      <c r="AA22" s="681">
        <v>300.39999999999998</v>
      </c>
      <c r="AB22" s="682" t="s">
        <v>627</v>
      </c>
      <c r="AC22" s="683" t="s">
        <v>481</v>
      </c>
    </row>
    <row r="23" spans="1:29">
      <c r="A23" s="4"/>
      <c r="B23" s="548">
        <f>SUM(B11:B22)</f>
        <v>0</v>
      </c>
      <c r="C23" s="4"/>
      <c r="D23" s="4">
        <f>SUM(B11*D11,B12*D12,B13*D13,B14*D14,B16*D16,B19*D19,B22*D22,B17*D17,B15*D15,B18*D18,B20*D20,B21*D21)</f>
        <v>0</v>
      </c>
      <c r="E23" s="4">
        <f>SUM(B11*E11,B12*E12,B13*E13,B14*E14,B16*E16,B17*E17,B19*E19,B22*E22,B15*E15,B18*E18,B20*E20,B21*E21)</f>
        <v>0</v>
      </c>
      <c r="F23" s="4">
        <f>SUM(B11*F11,B12*F12,B13*F13,B14*F14,B16*F16,B17*F17,B19*F19,B22*F22,B15*F15,B18*F18,B20*F20,B21*F21)</f>
        <v>0</v>
      </c>
      <c r="G23" s="538">
        <f>SUM(G11:G22)</f>
        <v>0</v>
      </c>
      <c r="H23" s="696">
        <f>SUM(H11:H22)</f>
        <v>0</v>
      </c>
      <c r="L23" s="6"/>
      <c r="M23" s="2"/>
      <c r="O23" s="2"/>
      <c r="Q23" s="2"/>
      <c r="R23" s="2"/>
      <c r="S23" s="7"/>
      <c r="W23" s="680">
        <v>40575</v>
      </c>
      <c r="X23" s="684">
        <v>219</v>
      </c>
      <c r="Y23" s="682" t="s">
        <v>481</v>
      </c>
      <c r="Z23" s="682" t="s">
        <v>629</v>
      </c>
      <c r="AA23" s="681">
        <v>302</v>
      </c>
      <c r="AB23" s="682" t="s">
        <v>627</v>
      </c>
      <c r="AC23" s="683" t="s">
        <v>481</v>
      </c>
    </row>
    <row r="24" spans="1:29">
      <c r="G24" s="199">
        <f>H6</f>
        <v>0</v>
      </c>
      <c r="H24" s="200">
        <f>H23*G24</f>
        <v>0</v>
      </c>
      <c r="L24" s="6"/>
      <c r="M24" s="2"/>
      <c r="O24" s="2"/>
      <c r="Q24" s="2"/>
      <c r="R24" s="2"/>
      <c r="S24" s="7"/>
      <c r="W24" s="680">
        <v>40603</v>
      </c>
      <c r="X24" s="674"/>
      <c r="AA24" s="681">
        <v>303.2</v>
      </c>
      <c r="AB24" s="682" t="s">
        <v>627</v>
      </c>
      <c r="AC24" s="683" t="s">
        <v>481</v>
      </c>
    </row>
    <row r="25" spans="1:29">
      <c r="G25" s="697">
        <f>H7</f>
        <v>0</v>
      </c>
      <c r="H25" s="200">
        <f>H23*G25</f>
        <v>0</v>
      </c>
      <c r="L25" s="6"/>
      <c r="M25" s="2"/>
      <c r="O25" s="2"/>
      <c r="Q25" s="2"/>
      <c r="R25" s="2"/>
      <c r="S25" s="7"/>
      <c r="W25" s="680">
        <v>40634</v>
      </c>
      <c r="X25" s="674"/>
      <c r="AA25" s="681">
        <v>304.2</v>
      </c>
      <c r="AB25" s="682" t="s">
        <v>627</v>
      </c>
      <c r="AC25" s="683" t="s">
        <v>481</v>
      </c>
    </row>
    <row r="26" spans="1:29">
      <c r="G26" s="79" t="s">
        <v>3</v>
      </c>
      <c r="H26" s="200">
        <f>SUM(H24:H25)</f>
        <v>0</v>
      </c>
      <c r="L26" s="691">
        <f>H26</f>
        <v>0</v>
      </c>
      <c r="M26" s="2"/>
      <c r="O26" s="2"/>
      <c r="Q26" s="2"/>
      <c r="R26" s="2"/>
      <c r="S26" s="7"/>
      <c r="W26" s="680">
        <v>40664</v>
      </c>
      <c r="X26" s="674"/>
      <c r="AA26" s="681">
        <v>305.2</v>
      </c>
      <c r="AB26" s="682" t="s">
        <v>627</v>
      </c>
      <c r="AC26" s="683" t="s">
        <v>481</v>
      </c>
    </row>
    <row r="27" spans="1:29">
      <c r="L27" s="6"/>
      <c r="M27" s="2"/>
      <c r="O27" s="2"/>
      <c r="P27" s="2"/>
      <c r="Q27" s="2"/>
      <c r="R27" s="2"/>
      <c r="S27" s="7"/>
      <c r="W27" s="680">
        <v>40969</v>
      </c>
      <c r="X27" s="674"/>
      <c r="AA27" s="681">
        <v>310.5</v>
      </c>
      <c r="AB27" s="682" t="s">
        <v>627</v>
      </c>
      <c r="AC27" s="683" t="s">
        <v>481</v>
      </c>
    </row>
    <row r="28" spans="1:29">
      <c r="M28" s="2"/>
      <c r="O28" s="2"/>
      <c r="Q28" s="2"/>
      <c r="R28" s="2"/>
      <c r="S28" s="7"/>
      <c r="W28" s="680">
        <v>41000</v>
      </c>
      <c r="X28" s="674"/>
      <c r="AA28" s="681">
        <v>310.60000000000002</v>
      </c>
      <c r="AB28" s="682" t="s">
        <v>627</v>
      </c>
      <c r="AC28" s="683" t="s">
        <v>481</v>
      </c>
    </row>
    <row r="29" spans="1:29">
      <c r="L29" s="6"/>
      <c r="M29" s="2"/>
      <c r="O29" s="2"/>
      <c r="Q29" s="2"/>
      <c r="R29" s="2"/>
      <c r="S29" s="7"/>
      <c r="W29" s="680">
        <v>41030</v>
      </c>
      <c r="X29" s="684">
        <v>230</v>
      </c>
      <c r="Y29" s="682" t="s">
        <v>481</v>
      </c>
      <c r="Z29" s="682" t="s">
        <v>633</v>
      </c>
      <c r="AA29" s="681">
        <v>310.10000000000002</v>
      </c>
      <c r="AB29" s="682" t="s">
        <v>627</v>
      </c>
      <c r="AC29" s="683" t="s">
        <v>481</v>
      </c>
    </row>
    <row r="30" spans="1:29">
      <c r="L30" s="6"/>
      <c r="M30" s="2"/>
      <c r="O30" s="2"/>
      <c r="Q30" s="2"/>
      <c r="R30" s="2"/>
      <c r="S30" s="7"/>
      <c r="W30" s="680">
        <v>41061</v>
      </c>
      <c r="X30" s="674"/>
      <c r="AA30" s="681">
        <v>309.7</v>
      </c>
      <c r="AB30" s="682" t="s">
        <v>627</v>
      </c>
      <c r="AC30" s="683" t="s">
        <v>481</v>
      </c>
    </row>
    <row r="31" spans="1:29">
      <c r="L31" s="6"/>
      <c r="M31" s="2"/>
      <c r="O31" s="2"/>
      <c r="Q31" s="2"/>
      <c r="R31" s="2"/>
      <c r="S31" s="7"/>
      <c r="W31" s="680">
        <v>41091</v>
      </c>
      <c r="X31" s="674"/>
      <c r="AA31" s="681">
        <v>309.8</v>
      </c>
      <c r="AB31" s="682" t="s">
        <v>627</v>
      </c>
      <c r="AC31" s="683" t="s">
        <v>481</v>
      </c>
    </row>
    <row r="32" spans="1:29">
      <c r="L32" s="6"/>
      <c r="M32" s="2"/>
      <c r="O32" s="2"/>
      <c r="Q32" s="2"/>
      <c r="R32" s="2"/>
      <c r="S32" s="7"/>
      <c r="W32" s="680">
        <v>41122</v>
      </c>
      <c r="X32" s="684">
        <v>223</v>
      </c>
      <c r="Y32" s="682" t="s">
        <v>481</v>
      </c>
      <c r="Z32" s="682" t="s">
        <v>632</v>
      </c>
      <c r="AA32" s="681">
        <v>309.7</v>
      </c>
      <c r="AB32" s="682" t="s">
        <v>627</v>
      </c>
      <c r="AC32" s="683" t="s">
        <v>481</v>
      </c>
    </row>
    <row r="33" spans="12:29">
      <c r="L33" s="6"/>
      <c r="M33" s="2"/>
      <c r="O33" s="2"/>
      <c r="Q33" s="2"/>
      <c r="R33" s="2"/>
      <c r="S33" s="7"/>
      <c r="W33" s="680">
        <v>41153</v>
      </c>
      <c r="X33" s="674"/>
      <c r="AA33" s="681">
        <v>309.8</v>
      </c>
      <c r="AB33" s="682" t="s">
        <v>627</v>
      </c>
      <c r="AC33" s="683" t="s">
        <v>481</v>
      </c>
    </row>
    <row r="34" spans="12:29">
      <c r="L34" s="6"/>
      <c r="M34" s="2"/>
      <c r="O34" s="2"/>
      <c r="Q34" s="2"/>
      <c r="R34" s="2"/>
      <c r="S34" s="7"/>
      <c r="W34" s="680">
        <v>41183</v>
      </c>
      <c r="X34" s="674"/>
      <c r="AA34" s="681">
        <v>309.8</v>
      </c>
      <c r="AB34" s="682" t="s">
        <v>627</v>
      </c>
      <c r="AC34" s="683" t="s">
        <v>481</v>
      </c>
    </row>
    <row r="35" spans="12:29">
      <c r="L35" s="6"/>
      <c r="M35" s="2"/>
      <c r="O35" s="2"/>
      <c r="Q35" s="2"/>
      <c r="R35" s="2"/>
      <c r="S35" s="7"/>
      <c r="W35" s="680">
        <v>41214</v>
      </c>
      <c r="X35" s="684">
        <v>224</v>
      </c>
      <c r="Y35" s="682" t="s">
        <v>481</v>
      </c>
      <c r="Z35" s="682" t="s">
        <v>634</v>
      </c>
      <c r="AA35" s="681">
        <v>310.89999999999998</v>
      </c>
      <c r="AB35" s="682" t="s">
        <v>627</v>
      </c>
      <c r="AC35" s="683" t="s">
        <v>481</v>
      </c>
    </row>
    <row r="36" spans="12:29">
      <c r="L36" s="6"/>
      <c r="M36" s="2"/>
      <c r="O36" s="2"/>
      <c r="Q36" s="2"/>
      <c r="R36" s="2"/>
      <c r="S36" s="7"/>
      <c r="W36" s="680">
        <v>41244</v>
      </c>
      <c r="X36" s="674"/>
      <c r="AA36" s="681">
        <v>310.39999999999998</v>
      </c>
      <c r="AB36" s="682" t="s">
        <v>627</v>
      </c>
      <c r="AC36" s="683" t="s">
        <v>481</v>
      </c>
    </row>
    <row r="37" spans="12:29">
      <c r="L37" s="6"/>
      <c r="M37" s="2"/>
      <c r="O37" s="2"/>
      <c r="Q37" s="2"/>
      <c r="R37" s="2"/>
      <c r="S37" s="7"/>
      <c r="W37" s="680">
        <v>41275</v>
      </c>
      <c r="X37" s="674"/>
      <c r="AA37" s="681">
        <v>313</v>
      </c>
      <c r="AB37" s="682" t="s">
        <v>627</v>
      </c>
      <c r="AC37" s="683" t="s">
        <v>481</v>
      </c>
    </row>
    <row r="38" spans="12:29">
      <c r="L38" s="6"/>
      <c r="M38" s="2"/>
      <c r="O38" s="2"/>
      <c r="Q38" s="2"/>
      <c r="R38" s="2"/>
      <c r="S38" s="7"/>
      <c r="W38" s="680">
        <v>41306</v>
      </c>
      <c r="X38" s="684">
        <v>234</v>
      </c>
      <c r="Y38" s="682" t="s">
        <v>481</v>
      </c>
      <c r="Z38" s="682" t="s">
        <v>634</v>
      </c>
      <c r="AA38" s="681">
        <v>314</v>
      </c>
      <c r="AB38" s="682" t="s">
        <v>627</v>
      </c>
      <c r="AC38" s="683" t="s">
        <v>481</v>
      </c>
    </row>
    <row r="39" spans="12:29">
      <c r="L39" s="6"/>
      <c r="M39" s="2"/>
      <c r="O39" s="2"/>
      <c r="Q39" s="2"/>
      <c r="R39" s="2"/>
      <c r="S39" s="7"/>
      <c r="W39" s="680">
        <v>41334</v>
      </c>
      <c r="X39" s="674"/>
      <c r="AA39" s="681">
        <v>314.2</v>
      </c>
      <c r="AB39" s="682" t="s">
        <v>627</v>
      </c>
      <c r="AC39" s="683" t="s">
        <v>481</v>
      </c>
    </row>
    <row r="40" spans="12:29">
      <c r="L40" s="6"/>
      <c r="M40" s="2"/>
      <c r="O40" s="2"/>
      <c r="Q40" s="2"/>
      <c r="R40" s="2"/>
      <c r="S40" s="7"/>
      <c r="W40" s="680">
        <v>41365</v>
      </c>
      <c r="X40" s="674"/>
      <c r="AA40" s="681">
        <v>314.5</v>
      </c>
      <c r="AB40" s="682" t="s">
        <v>627</v>
      </c>
      <c r="AC40" s="683" t="s">
        <v>481</v>
      </c>
    </row>
    <row r="41" spans="12:29">
      <c r="L41" s="6"/>
      <c r="M41" s="2"/>
      <c r="O41" s="2"/>
      <c r="Q41" s="2"/>
      <c r="R41" s="2"/>
      <c r="S41" s="7"/>
      <c r="W41" s="680">
        <v>41395</v>
      </c>
      <c r="X41" s="684">
        <v>236</v>
      </c>
      <c r="Y41" s="682" t="s">
        <v>481</v>
      </c>
      <c r="Z41" s="682" t="s">
        <v>635</v>
      </c>
      <c r="AA41" s="681">
        <v>314.5</v>
      </c>
      <c r="AB41" s="682" t="s">
        <v>627</v>
      </c>
      <c r="AC41" s="683" t="s">
        <v>481</v>
      </c>
    </row>
    <row r="42" spans="12:29">
      <c r="L42" s="6"/>
      <c r="M42" s="2"/>
      <c r="O42" s="2"/>
      <c r="Q42" s="2"/>
      <c r="R42" s="2"/>
      <c r="S42" s="7"/>
      <c r="W42" s="680">
        <v>41426</v>
      </c>
      <c r="X42" s="674"/>
      <c r="AA42" s="681">
        <v>313.89999999999998</v>
      </c>
      <c r="AB42" s="682" t="s">
        <v>627</v>
      </c>
      <c r="AC42" s="683" t="s">
        <v>481</v>
      </c>
    </row>
    <row r="43" spans="12:29">
      <c r="L43" s="6"/>
      <c r="M43" s="2"/>
      <c r="O43" s="2"/>
      <c r="Q43" s="2"/>
      <c r="R43" s="2"/>
      <c r="S43" s="7"/>
      <c r="W43" s="680">
        <v>41456</v>
      </c>
      <c r="X43" s="674"/>
      <c r="AA43" s="681">
        <v>313.60000000000002</v>
      </c>
      <c r="AB43" s="682" t="s">
        <v>627</v>
      </c>
      <c r="AC43" s="683" t="s">
        <v>481</v>
      </c>
    </row>
    <row r="44" spans="12:29">
      <c r="L44" s="6"/>
      <c r="M44" s="2"/>
      <c r="O44" s="2"/>
      <c r="Q44" s="2"/>
      <c r="R44" s="2"/>
      <c r="S44" s="7"/>
      <c r="W44" s="680">
        <v>41487</v>
      </c>
      <c r="X44" s="684">
        <v>232</v>
      </c>
      <c r="Y44" s="682" t="s">
        <v>481</v>
      </c>
      <c r="Z44" s="682" t="s">
        <v>636</v>
      </c>
      <c r="AA44" s="681">
        <v>313.39999999999998</v>
      </c>
      <c r="AB44" s="682" t="s">
        <v>627</v>
      </c>
      <c r="AC44" s="683" t="s">
        <v>481</v>
      </c>
    </row>
    <row r="45" spans="12:29">
      <c r="L45" s="6"/>
      <c r="M45" s="2"/>
      <c r="O45" s="2"/>
      <c r="Q45" s="2"/>
      <c r="R45" s="2"/>
      <c r="S45" s="7"/>
      <c r="W45" s="680">
        <v>41518</v>
      </c>
      <c r="X45" s="674"/>
      <c r="AA45" s="681">
        <v>313.3</v>
      </c>
      <c r="AB45" s="682" t="s">
        <v>627</v>
      </c>
      <c r="AC45" s="683" t="s">
        <v>481</v>
      </c>
    </row>
    <row r="46" spans="12:29">
      <c r="L46" s="6"/>
      <c r="M46" s="2"/>
      <c r="O46" s="2"/>
      <c r="Q46" s="2"/>
      <c r="R46" s="2"/>
      <c r="S46" s="7"/>
      <c r="W46" s="680">
        <v>41548</v>
      </c>
      <c r="X46" s="674"/>
      <c r="AA46" s="681">
        <v>313.5</v>
      </c>
      <c r="AB46" s="682" t="s">
        <v>627</v>
      </c>
      <c r="AC46" s="683" t="s">
        <v>481</v>
      </c>
    </row>
    <row r="47" spans="12:29">
      <c r="L47" s="6"/>
      <c r="M47" s="2"/>
      <c r="O47" s="2"/>
      <c r="Q47" s="2"/>
      <c r="R47" s="2"/>
      <c r="S47" s="7"/>
      <c r="W47" s="680">
        <v>41579</v>
      </c>
      <c r="X47" s="684">
        <v>239</v>
      </c>
      <c r="Y47" s="682" t="s">
        <v>481</v>
      </c>
      <c r="Z47" s="682" t="s">
        <v>637</v>
      </c>
      <c r="AA47" s="681">
        <v>313.7</v>
      </c>
      <c r="AB47" s="682" t="s">
        <v>627</v>
      </c>
      <c r="AC47" s="683" t="s">
        <v>481</v>
      </c>
    </row>
    <row r="48" spans="12:29">
      <c r="L48" s="6"/>
      <c r="M48" s="2"/>
      <c r="O48" s="2"/>
      <c r="Q48" s="2"/>
      <c r="R48" s="2"/>
      <c r="S48" s="7"/>
      <c r="W48" s="680">
        <v>41609</v>
      </c>
      <c r="X48" s="674"/>
      <c r="AA48" s="681">
        <v>313.8</v>
      </c>
      <c r="AB48" s="682" t="s">
        <v>627</v>
      </c>
      <c r="AC48" s="683" t="s">
        <v>481</v>
      </c>
    </row>
    <row r="49" spans="12:29">
      <c r="L49" s="6"/>
      <c r="M49" s="2"/>
      <c r="O49" s="2"/>
      <c r="Q49" s="2"/>
      <c r="R49" s="2"/>
      <c r="S49" s="7"/>
      <c r="W49" s="680">
        <v>41640</v>
      </c>
      <c r="X49" s="674"/>
      <c r="AA49" s="681">
        <v>314.89999999999998</v>
      </c>
      <c r="AB49" s="682" t="s">
        <v>627</v>
      </c>
      <c r="AC49" s="683" t="s">
        <v>481</v>
      </c>
    </row>
    <row r="50" spans="12:29">
      <c r="L50" s="6"/>
      <c r="M50" s="2"/>
      <c r="O50" s="2"/>
      <c r="Q50" s="2"/>
      <c r="R50" s="2"/>
      <c r="S50" s="7"/>
      <c r="W50" s="680">
        <v>41671</v>
      </c>
      <c r="X50" s="684">
        <v>247</v>
      </c>
      <c r="Y50" s="682" t="s">
        <v>481</v>
      </c>
      <c r="Z50" s="682" t="s">
        <v>637</v>
      </c>
      <c r="AA50" s="681">
        <v>315.7</v>
      </c>
      <c r="AB50" s="682" t="s">
        <v>627</v>
      </c>
      <c r="AC50" s="683" t="s">
        <v>481</v>
      </c>
    </row>
    <row r="51" spans="12:29">
      <c r="L51" s="6"/>
      <c r="M51" s="2"/>
      <c r="O51" s="2"/>
      <c r="Q51" s="2"/>
      <c r="R51" s="2"/>
      <c r="S51" s="7"/>
      <c r="W51" s="680">
        <v>41699</v>
      </c>
      <c r="X51" s="674"/>
      <c r="AA51" s="681">
        <v>316.3</v>
      </c>
      <c r="AB51" s="682" t="s">
        <v>627</v>
      </c>
      <c r="AC51" s="683" t="s">
        <v>481</v>
      </c>
    </row>
    <row r="52" spans="12:29" ht="16" thickBot="1">
      <c r="L52" s="47">
        <f t="shared" ref="L52:S52" si="3">SUM(L11:L51)</f>
        <v>0</v>
      </c>
      <c r="M52" s="47">
        <f t="shared" si="3"/>
        <v>0</v>
      </c>
      <c r="N52" s="47">
        <f t="shared" si="3"/>
        <v>0</v>
      </c>
      <c r="O52" s="47">
        <f t="shared" si="3"/>
        <v>0</v>
      </c>
      <c r="P52" s="47">
        <f t="shared" si="3"/>
        <v>0</v>
      </c>
      <c r="Q52" s="47">
        <f t="shared" si="3"/>
        <v>0</v>
      </c>
      <c r="R52" s="47">
        <f t="shared" si="3"/>
        <v>0</v>
      </c>
      <c r="S52" s="47">
        <f t="shared" si="3"/>
        <v>0</v>
      </c>
      <c r="W52" s="680">
        <v>41730</v>
      </c>
      <c r="X52" s="674"/>
      <c r="AA52" s="681">
        <v>316</v>
      </c>
      <c r="AB52" s="682" t="s">
        <v>627</v>
      </c>
      <c r="AC52" s="683" t="s">
        <v>481</v>
      </c>
    </row>
    <row r="53" spans="12:29">
      <c r="L53" s="8"/>
      <c r="M53" s="63"/>
      <c r="N53" s="9"/>
      <c r="O53" s="63"/>
      <c r="P53" s="9"/>
      <c r="Q53" s="63"/>
      <c r="R53" s="63"/>
      <c r="S53" s="10"/>
      <c r="W53" s="680">
        <v>41760</v>
      </c>
      <c r="X53" s="684">
        <v>259</v>
      </c>
      <c r="Y53" s="682" t="s">
        <v>481</v>
      </c>
      <c r="Z53" s="682" t="s">
        <v>638</v>
      </c>
      <c r="AA53" s="681">
        <v>316.2</v>
      </c>
      <c r="AB53" s="682" t="s">
        <v>627</v>
      </c>
      <c r="AC53" s="683" t="s">
        <v>481</v>
      </c>
    </row>
    <row r="54" spans="12:29">
      <c r="W54" s="680">
        <v>41791</v>
      </c>
      <c r="X54" s="674"/>
      <c r="AA54" s="681">
        <v>316.39999999999998</v>
      </c>
      <c r="AB54" s="682" t="s">
        <v>627</v>
      </c>
      <c r="AC54" s="683" t="s">
        <v>481</v>
      </c>
    </row>
    <row r="55" spans="12:29">
      <c r="W55" s="680">
        <v>41821</v>
      </c>
      <c r="X55" s="674"/>
      <c r="AA55" s="681">
        <v>319.10000000000002</v>
      </c>
      <c r="AB55" s="682" t="s">
        <v>639</v>
      </c>
      <c r="AC55" s="683" t="s">
        <v>481</v>
      </c>
    </row>
    <row r="56" spans="12:29">
      <c r="W56" s="680">
        <v>41852</v>
      </c>
      <c r="X56" s="684">
        <v>257</v>
      </c>
      <c r="Y56" s="682" t="s">
        <v>481</v>
      </c>
      <c r="Z56" s="682" t="s">
        <v>636</v>
      </c>
      <c r="AA56" s="681">
        <v>319.10000000000002</v>
      </c>
      <c r="AB56" s="682" t="s">
        <v>627</v>
      </c>
      <c r="AC56" s="683" t="s">
        <v>481</v>
      </c>
    </row>
    <row r="57" spans="12:29">
      <c r="W57" s="680">
        <v>41883</v>
      </c>
      <c r="X57" s="674"/>
      <c r="AA57" s="681">
        <v>319.2</v>
      </c>
      <c r="AB57" s="682" t="s">
        <v>627</v>
      </c>
      <c r="AC57" s="683" t="s">
        <v>481</v>
      </c>
    </row>
    <row r="58" spans="12:29">
      <c r="W58" s="680">
        <v>41913</v>
      </c>
      <c r="X58" s="674"/>
      <c r="AA58" s="681">
        <v>319.2</v>
      </c>
      <c r="AB58" s="682" t="s">
        <v>627</v>
      </c>
      <c r="AC58" s="683" t="s">
        <v>481</v>
      </c>
    </row>
    <row r="59" spans="12:29">
      <c r="W59" s="680">
        <v>41944</v>
      </c>
      <c r="X59" s="684">
        <v>259</v>
      </c>
      <c r="Y59" s="682" t="s">
        <v>481</v>
      </c>
      <c r="Z59" s="682" t="s">
        <v>635</v>
      </c>
      <c r="AA59" s="681">
        <v>319.10000000000002</v>
      </c>
      <c r="AB59" s="682" t="s">
        <v>627</v>
      </c>
      <c r="AC59" s="683" t="s">
        <v>481</v>
      </c>
    </row>
    <row r="60" spans="12:29">
      <c r="W60" s="680">
        <v>41974</v>
      </c>
      <c r="X60" s="674"/>
      <c r="AA60" s="681">
        <v>318.5</v>
      </c>
      <c r="AB60" s="682" t="s">
        <v>627</v>
      </c>
      <c r="AC60" s="683" t="s">
        <v>481</v>
      </c>
    </row>
    <row r="61" spans="12:29">
      <c r="W61" s="680">
        <v>42005</v>
      </c>
      <c r="X61" s="674"/>
      <c r="AA61" s="681">
        <v>318</v>
      </c>
      <c r="AB61" s="682" t="s">
        <v>627</v>
      </c>
      <c r="AC61" s="683" t="s">
        <v>481</v>
      </c>
    </row>
    <row r="62" spans="12:29">
      <c r="W62" s="680">
        <v>42036</v>
      </c>
      <c r="X62" s="684">
        <v>270</v>
      </c>
      <c r="Y62" s="682" t="s">
        <v>481</v>
      </c>
      <c r="Z62" s="682" t="s">
        <v>635</v>
      </c>
      <c r="AA62" s="681">
        <v>318.3</v>
      </c>
      <c r="AB62" s="682" t="s">
        <v>627</v>
      </c>
      <c r="AC62" s="683" t="s">
        <v>481</v>
      </c>
    </row>
    <row r="63" spans="12:29">
      <c r="W63" s="680">
        <v>42064</v>
      </c>
      <c r="X63" s="674"/>
      <c r="AA63" s="681">
        <v>318</v>
      </c>
      <c r="AB63" s="682" t="s">
        <v>627</v>
      </c>
      <c r="AC63" s="683" t="s">
        <v>481</v>
      </c>
    </row>
    <row r="64" spans="12:29">
      <c r="W64" s="680">
        <v>42095</v>
      </c>
      <c r="X64" s="674"/>
      <c r="AA64" s="681">
        <v>319.2</v>
      </c>
      <c r="AB64" s="682" t="s">
        <v>627</v>
      </c>
      <c r="AC64" s="683" t="s">
        <v>481</v>
      </c>
    </row>
    <row r="65" spans="23:29">
      <c r="W65" s="680">
        <v>42125</v>
      </c>
      <c r="X65" s="684">
        <v>283</v>
      </c>
      <c r="Y65" s="682" t="s">
        <v>481</v>
      </c>
      <c r="Z65" s="682" t="s">
        <v>640</v>
      </c>
      <c r="AA65" s="681">
        <v>319.3</v>
      </c>
      <c r="AB65" s="682" t="s">
        <v>627</v>
      </c>
      <c r="AC65" s="683" t="s">
        <v>481</v>
      </c>
    </row>
    <row r="66" spans="23:29">
      <c r="W66" s="680">
        <v>42156</v>
      </c>
      <c r="X66" s="674"/>
      <c r="AA66" s="681">
        <v>318.8</v>
      </c>
      <c r="AB66" s="682" t="s">
        <v>627</v>
      </c>
      <c r="AC66" s="683" t="s">
        <v>481</v>
      </c>
    </row>
    <row r="67" spans="23:29">
      <c r="W67" s="680">
        <v>42186</v>
      </c>
      <c r="X67" s="674"/>
      <c r="AA67" s="681">
        <v>321.2</v>
      </c>
      <c r="AB67" s="682" t="s">
        <v>627</v>
      </c>
      <c r="AC67" s="683" t="s">
        <v>481</v>
      </c>
    </row>
    <row r="68" spans="23:29">
      <c r="W68" s="680">
        <v>42217</v>
      </c>
      <c r="X68" s="684">
        <v>269</v>
      </c>
      <c r="Y68" s="682" t="s">
        <v>481</v>
      </c>
      <c r="Z68" s="682" t="s">
        <v>641</v>
      </c>
      <c r="AA68" s="681">
        <v>320.39999999999998</v>
      </c>
      <c r="AB68" s="682" t="s">
        <v>627</v>
      </c>
      <c r="AC68" s="683" t="s">
        <v>481</v>
      </c>
    </row>
    <row r="69" spans="23:29">
      <c r="W69" s="680">
        <v>42248</v>
      </c>
      <c r="X69" s="674"/>
      <c r="AA69" s="681">
        <v>320.10000000000002</v>
      </c>
      <c r="AB69" s="682" t="s">
        <v>627</v>
      </c>
      <c r="AC69" s="683" t="s">
        <v>481</v>
      </c>
    </row>
    <row r="70" spans="23:29">
      <c r="W70" s="680">
        <v>42278</v>
      </c>
      <c r="X70" s="674"/>
      <c r="AA70" s="681">
        <v>320.10000000000002</v>
      </c>
      <c r="AB70" s="682" t="s">
        <v>627</v>
      </c>
      <c r="AC70" s="683" t="s">
        <v>481</v>
      </c>
    </row>
    <row r="71" spans="23:29">
      <c r="W71" s="680">
        <v>42309</v>
      </c>
      <c r="X71" s="684">
        <v>271</v>
      </c>
      <c r="Y71" s="682" t="s">
        <v>481</v>
      </c>
      <c r="Z71" s="682" t="s">
        <v>640</v>
      </c>
      <c r="AA71" s="681">
        <v>319.5</v>
      </c>
      <c r="AB71" s="682" t="s">
        <v>627</v>
      </c>
      <c r="AC71" s="683" t="s">
        <v>481</v>
      </c>
    </row>
    <row r="72" spans="23:29">
      <c r="W72" s="680">
        <v>42339</v>
      </c>
      <c r="X72" s="674"/>
      <c r="AA72" s="681">
        <v>318.60000000000002</v>
      </c>
      <c r="AB72" s="682" t="s">
        <v>627</v>
      </c>
      <c r="AC72" s="683" t="s">
        <v>481</v>
      </c>
    </row>
    <row r="73" spans="23:29">
      <c r="W73" s="680">
        <v>42370</v>
      </c>
      <c r="X73" s="674"/>
      <c r="AA73" s="681">
        <v>318.60000000000002</v>
      </c>
      <c r="AB73" s="682" t="s">
        <v>627</v>
      </c>
      <c r="AC73" s="683" t="s">
        <v>481</v>
      </c>
    </row>
    <row r="74" spans="23:29">
      <c r="W74" s="680">
        <v>42401</v>
      </c>
      <c r="X74" s="684">
        <v>275</v>
      </c>
      <c r="Y74" s="682" t="s">
        <v>481</v>
      </c>
      <c r="Z74" s="682" t="s">
        <v>642</v>
      </c>
      <c r="AA74" s="681">
        <v>319.5</v>
      </c>
      <c r="AB74" s="682" t="s">
        <v>627</v>
      </c>
      <c r="AC74" s="683" t="s">
        <v>481</v>
      </c>
    </row>
    <row r="75" spans="23:29">
      <c r="W75" s="680">
        <v>42430</v>
      </c>
      <c r="X75" s="674"/>
      <c r="AA75" s="681">
        <v>319.60000000000002</v>
      </c>
      <c r="AB75" s="682" t="s">
        <v>627</v>
      </c>
      <c r="AC75" s="683" t="s">
        <v>481</v>
      </c>
    </row>
    <row r="76" spans="23:29">
      <c r="W76" s="680">
        <v>42461</v>
      </c>
      <c r="X76" s="674"/>
      <c r="AA76" s="681">
        <v>320.3</v>
      </c>
      <c r="AB76" s="682" t="s">
        <v>627</v>
      </c>
      <c r="AC76" s="683" t="s">
        <v>481</v>
      </c>
    </row>
    <row r="77" spans="23:29">
      <c r="W77" s="680">
        <v>42491</v>
      </c>
      <c r="X77" s="684">
        <v>282</v>
      </c>
      <c r="Y77" s="682" t="s">
        <v>481</v>
      </c>
      <c r="Z77" s="682" t="s">
        <v>643</v>
      </c>
      <c r="AA77" s="681">
        <v>321.5</v>
      </c>
      <c r="AB77" s="682" t="s">
        <v>627</v>
      </c>
      <c r="AC77" s="683" t="s">
        <v>481</v>
      </c>
    </row>
    <row r="78" spans="23:29">
      <c r="W78" s="680">
        <v>42522</v>
      </c>
      <c r="X78" s="674"/>
      <c r="AA78" s="681">
        <v>322.7</v>
      </c>
      <c r="AB78" s="682" t="s">
        <v>627</v>
      </c>
      <c r="AC78" s="683" t="s">
        <v>481</v>
      </c>
    </row>
    <row r="79" spans="23:29">
      <c r="W79" s="680">
        <v>42552</v>
      </c>
      <c r="X79" s="674"/>
      <c r="AA79" s="681">
        <v>322.89999999999998</v>
      </c>
      <c r="AB79" s="682" t="s">
        <v>627</v>
      </c>
      <c r="AC79" s="683" t="s">
        <v>481</v>
      </c>
    </row>
    <row r="80" spans="23:29">
      <c r="W80" s="680">
        <v>42583</v>
      </c>
      <c r="X80" s="684">
        <v>273</v>
      </c>
      <c r="Y80" s="682" t="s">
        <v>481</v>
      </c>
      <c r="Z80" s="682" t="s">
        <v>644</v>
      </c>
      <c r="AA80" s="681">
        <v>326.8</v>
      </c>
      <c r="AB80" s="682" t="s">
        <v>627</v>
      </c>
      <c r="AC80" s="683" t="s">
        <v>481</v>
      </c>
    </row>
    <row r="81" spans="23:29">
      <c r="W81" s="680">
        <v>42614</v>
      </c>
      <c r="X81" s="674"/>
      <c r="AA81" s="681">
        <v>327.3</v>
      </c>
      <c r="AB81" s="682" t="s">
        <v>627</v>
      </c>
      <c r="AC81" s="683" t="s">
        <v>481</v>
      </c>
    </row>
    <row r="82" spans="23:29">
      <c r="W82" s="680">
        <v>42644</v>
      </c>
      <c r="X82" s="674"/>
      <c r="AA82" s="681">
        <v>328.3</v>
      </c>
      <c r="AB82" s="682" t="s">
        <v>627</v>
      </c>
      <c r="AC82" s="683" t="s">
        <v>481</v>
      </c>
    </row>
    <row r="83" spans="23:29">
      <c r="W83" s="680">
        <v>42675</v>
      </c>
      <c r="X83" s="684">
        <v>283</v>
      </c>
      <c r="Y83" s="682" t="s">
        <v>481</v>
      </c>
      <c r="Z83" s="682" t="s">
        <v>643</v>
      </c>
      <c r="AA83" s="681">
        <v>329</v>
      </c>
      <c r="AB83" s="682" t="s">
        <v>627</v>
      </c>
      <c r="AC83" s="683" t="s">
        <v>481</v>
      </c>
    </row>
    <row r="84" spans="23:29">
      <c r="W84" s="680">
        <v>42705</v>
      </c>
      <c r="X84" s="674"/>
      <c r="AA84" s="681">
        <v>329.7</v>
      </c>
      <c r="AB84" s="682" t="s">
        <v>627</v>
      </c>
      <c r="AC84" s="683" t="s">
        <v>481</v>
      </c>
    </row>
    <row r="85" spans="23:29">
      <c r="W85" s="680">
        <v>42736</v>
      </c>
      <c r="X85" s="674"/>
      <c r="AA85" s="681">
        <v>331.8</v>
      </c>
      <c r="AB85" s="682" t="s">
        <v>627</v>
      </c>
      <c r="AC85" s="683" t="s">
        <v>481</v>
      </c>
    </row>
    <row r="86" spans="23:29">
      <c r="W86" s="680">
        <v>42767</v>
      </c>
      <c r="X86" s="684">
        <v>298</v>
      </c>
      <c r="Y86" s="682" t="s">
        <v>481</v>
      </c>
      <c r="Z86" s="682" t="s">
        <v>641</v>
      </c>
      <c r="AA86" s="681">
        <v>333.2</v>
      </c>
      <c r="AB86" s="682" t="s">
        <v>627</v>
      </c>
      <c r="AC86" s="683" t="s">
        <v>481</v>
      </c>
    </row>
    <row r="87" spans="23:29">
      <c r="W87" s="680">
        <v>42795</v>
      </c>
      <c r="X87" s="674"/>
      <c r="AA87" s="681">
        <v>333.6</v>
      </c>
      <c r="AB87" s="682" t="s">
        <v>627</v>
      </c>
      <c r="AC87" s="683" t="s">
        <v>481</v>
      </c>
    </row>
    <row r="88" spans="23:29">
      <c r="W88" s="680">
        <v>42826</v>
      </c>
      <c r="X88" s="674"/>
      <c r="AA88" s="681">
        <v>334</v>
      </c>
      <c r="AB88" s="682" t="s">
        <v>627</v>
      </c>
      <c r="AC88" s="683" t="s">
        <v>481</v>
      </c>
    </row>
    <row r="89" spans="23:29">
      <c r="W89" s="680">
        <v>42856</v>
      </c>
      <c r="X89" s="684">
        <v>324</v>
      </c>
      <c r="Y89" s="682" t="s">
        <v>481</v>
      </c>
      <c r="Z89" s="682" t="s">
        <v>645</v>
      </c>
      <c r="AA89" s="681">
        <v>334.3</v>
      </c>
      <c r="AB89" s="682" t="s">
        <v>627</v>
      </c>
      <c r="AC89" s="683" t="s">
        <v>481</v>
      </c>
    </row>
    <row r="90" spans="23:29">
      <c r="W90" s="680">
        <v>42887</v>
      </c>
      <c r="X90" s="674"/>
      <c r="AA90" s="681">
        <v>334.3</v>
      </c>
      <c r="AB90" s="682" t="s">
        <v>627</v>
      </c>
      <c r="AC90" s="683" t="s">
        <v>481</v>
      </c>
    </row>
    <row r="91" spans="23:29">
      <c r="W91" s="680">
        <v>42917</v>
      </c>
      <c r="X91" s="674"/>
      <c r="AA91" s="681">
        <v>338.1</v>
      </c>
      <c r="AB91" s="682" t="s">
        <v>627</v>
      </c>
      <c r="AC91" s="683" t="s">
        <v>481</v>
      </c>
    </row>
    <row r="92" spans="23:29">
      <c r="W92" s="680">
        <v>42948</v>
      </c>
      <c r="X92" s="684">
        <v>306</v>
      </c>
      <c r="Y92" s="682" t="s">
        <v>481</v>
      </c>
      <c r="Z92" s="682" t="s">
        <v>645</v>
      </c>
      <c r="AA92" s="681">
        <v>338.8</v>
      </c>
      <c r="AB92" s="682" t="s">
        <v>627</v>
      </c>
      <c r="AC92" s="683" t="s">
        <v>481</v>
      </c>
    </row>
    <row r="93" spans="23:29">
      <c r="W93" s="680">
        <v>42979</v>
      </c>
      <c r="X93" s="674"/>
      <c r="AA93" s="681">
        <v>339.9</v>
      </c>
      <c r="AB93" s="682" t="s">
        <v>627</v>
      </c>
      <c r="AC93" s="683" t="s">
        <v>481</v>
      </c>
    </row>
    <row r="94" spans="23:29">
      <c r="W94" s="680">
        <v>43009</v>
      </c>
      <c r="X94" s="674"/>
      <c r="AA94" s="681">
        <v>341.4</v>
      </c>
      <c r="AB94" s="682" t="s">
        <v>627</v>
      </c>
      <c r="AC94" s="683" t="s">
        <v>481</v>
      </c>
    </row>
    <row r="95" spans="23:29">
      <c r="W95" s="680">
        <v>43040</v>
      </c>
      <c r="X95" s="684">
        <v>327</v>
      </c>
      <c r="Y95" s="682" t="s">
        <v>481</v>
      </c>
      <c r="Z95" s="682" t="s">
        <v>640</v>
      </c>
      <c r="AA95" s="681">
        <v>342.3</v>
      </c>
      <c r="AB95" s="682" t="s">
        <v>627</v>
      </c>
      <c r="AC95" s="683" t="s">
        <v>481</v>
      </c>
    </row>
    <row r="96" spans="23:29">
      <c r="W96" s="680">
        <v>43070</v>
      </c>
      <c r="X96" s="674"/>
      <c r="AA96" s="681">
        <v>343</v>
      </c>
      <c r="AB96" s="682" t="s">
        <v>627</v>
      </c>
      <c r="AC96" s="683" t="s">
        <v>481</v>
      </c>
    </row>
    <row r="97" spans="23:29">
      <c r="W97" s="680">
        <v>43101</v>
      </c>
      <c r="X97" s="674"/>
      <c r="AA97" s="681">
        <v>344.1</v>
      </c>
      <c r="AB97" s="682" t="s">
        <v>627</v>
      </c>
      <c r="AC97" s="683" t="s">
        <v>481</v>
      </c>
    </row>
    <row r="98" spans="23:29">
      <c r="W98" s="680">
        <v>43132</v>
      </c>
      <c r="X98" s="684">
        <v>328</v>
      </c>
      <c r="Y98" s="682" t="s">
        <v>646</v>
      </c>
      <c r="Z98" s="682" t="s">
        <v>647</v>
      </c>
      <c r="AA98" s="681">
        <v>345.8</v>
      </c>
      <c r="AB98" s="682" t="s">
        <v>627</v>
      </c>
      <c r="AC98" s="683" t="s">
        <v>481</v>
      </c>
    </row>
    <row r="99" spans="23:29">
      <c r="W99" s="680">
        <v>43160</v>
      </c>
      <c r="X99" s="674"/>
      <c r="AA99" s="681">
        <v>345.9</v>
      </c>
      <c r="AB99" s="682" t="s">
        <v>627</v>
      </c>
      <c r="AC99" s="683" t="s">
        <v>481</v>
      </c>
    </row>
    <row r="100" spans="23:29">
      <c r="W100" s="680">
        <v>43191</v>
      </c>
      <c r="X100" s="674"/>
      <c r="AA100" s="681">
        <v>346</v>
      </c>
      <c r="AB100" s="682" t="s">
        <v>627</v>
      </c>
      <c r="AC100" s="683" t="s">
        <v>481</v>
      </c>
    </row>
    <row r="101" spans="23:29">
      <c r="W101" s="680">
        <v>43221</v>
      </c>
      <c r="X101" s="684">
        <v>332</v>
      </c>
      <c r="Y101" s="682" t="s">
        <v>646</v>
      </c>
      <c r="Z101" s="682" t="s">
        <v>648</v>
      </c>
      <c r="AA101" s="681">
        <v>347.2</v>
      </c>
      <c r="AB101" s="682" t="s">
        <v>627</v>
      </c>
      <c r="AC101" s="683" t="s">
        <v>481</v>
      </c>
    </row>
    <row r="102" spans="23:29">
      <c r="W102" s="680">
        <v>43252</v>
      </c>
      <c r="X102" s="674"/>
      <c r="AA102" s="681">
        <v>347.8</v>
      </c>
      <c r="AB102" s="682" t="s">
        <v>627</v>
      </c>
      <c r="AC102" s="683" t="s">
        <v>481</v>
      </c>
    </row>
    <row r="103" spans="23:29">
      <c r="W103" s="680">
        <v>43282</v>
      </c>
      <c r="X103" s="674"/>
      <c r="AA103" s="681">
        <v>352.9</v>
      </c>
      <c r="AB103" s="682" t="s">
        <v>627</v>
      </c>
      <c r="AC103" s="683" t="s">
        <v>481</v>
      </c>
    </row>
    <row r="104" spans="23:29">
      <c r="W104" s="680">
        <v>43313</v>
      </c>
      <c r="X104" s="684">
        <v>320</v>
      </c>
      <c r="Y104" s="682" t="s">
        <v>646</v>
      </c>
      <c r="Z104" s="682" t="s">
        <v>649</v>
      </c>
      <c r="AA104" s="681">
        <v>353</v>
      </c>
      <c r="AB104" s="682" t="s">
        <v>627</v>
      </c>
      <c r="AC104" s="683" t="s">
        <v>481</v>
      </c>
    </row>
    <row r="105" spans="23:29">
      <c r="W105" s="680">
        <v>43344</v>
      </c>
      <c r="X105" s="674"/>
      <c r="AA105" s="681">
        <v>353.8</v>
      </c>
      <c r="AB105" s="682" t="s">
        <v>627</v>
      </c>
      <c r="AC105" s="683" t="s">
        <v>481</v>
      </c>
    </row>
    <row r="106" spans="23:29">
      <c r="W106" s="680">
        <v>43374</v>
      </c>
      <c r="X106" s="674"/>
      <c r="AA106" s="681">
        <v>354.2</v>
      </c>
      <c r="AB106" s="682" t="s">
        <v>627</v>
      </c>
      <c r="AC106" s="683" t="s">
        <v>481</v>
      </c>
    </row>
    <row r="107" spans="23:29">
      <c r="W107" s="680">
        <v>43405</v>
      </c>
      <c r="X107" s="684">
        <v>333</v>
      </c>
      <c r="Y107" s="682" t="s">
        <v>650</v>
      </c>
      <c r="Z107" s="682" t="s">
        <v>648</v>
      </c>
      <c r="AA107" s="681">
        <v>354.3</v>
      </c>
      <c r="AB107" s="682" t="s">
        <v>627</v>
      </c>
      <c r="AC107" s="683" t="s">
        <v>481</v>
      </c>
    </row>
    <row r="108" spans="23:29">
      <c r="W108" s="680">
        <v>43435</v>
      </c>
      <c r="X108" s="674"/>
      <c r="AA108" s="681">
        <v>354.4</v>
      </c>
      <c r="AB108" s="682" t="s">
        <v>627</v>
      </c>
      <c r="AC108" s="683" t="s">
        <v>481</v>
      </c>
    </row>
    <row r="109" spans="23:29">
      <c r="W109" s="680">
        <v>43466</v>
      </c>
      <c r="X109" s="674"/>
      <c r="AA109" s="681">
        <v>354.7</v>
      </c>
      <c r="AB109" s="682" t="s">
        <v>627</v>
      </c>
      <c r="AC109" s="683" t="s">
        <v>481</v>
      </c>
    </row>
    <row r="110" spans="23:29">
      <c r="W110" s="680">
        <v>43497</v>
      </c>
      <c r="X110" s="684">
        <v>328</v>
      </c>
      <c r="Y110" s="682" t="s">
        <v>650</v>
      </c>
      <c r="Z110" s="682" t="s">
        <v>651</v>
      </c>
      <c r="AA110" s="681">
        <v>355.6</v>
      </c>
      <c r="AB110" s="682" t="s">
        <v>627</v>
      </c>
      <c r="AC110" s="683" t="s">
        <v>481</v>
      </c>
    </row>
    <row r="111" spans="23:29">
      <c r="W111" s="680">
        <v>43525</v>
      </c>
      <c r="X111" s="674"/>
      <c r="AA111" s="681">
        <v>357</v>
      </c>
      <c r="AB111" s="682" t="s">
        <v>627</v>
      </c>
      <c r="AC111" s="683" t="s">
        <v>481</v>
      </c>
    </row>
    <row r="112" spans="23:29">
      <c r="W112" s="680">
        <v>43556</v>
      </c>
      <c r="X112" s="674"/>
      <c r="AA112" s="681">
        <v>358</v>
      </c>
      <c r="AB112" s="682" t="s">
        <v>627</v>
      </c>
      <c r="AC112" s="683" t="s">
        <v>481</v>
      </c>
    </row>
    <row r="113" spans="23:29">
      <c r="W113" s="680">
        <v>43586</v>
      </c>
      <c r="X113" s="684">
        <v>332</v>
      </c>
      <c r="Y113" s="682" t="s">
        <v>650</v>
      </c>
      <c r="Z113" s="682" t="s">
        <v>652</v>
      </c>
      <c r="AA113" s="681">
        <v>357.7</v>
      </c>
      <c r="AB113" s="682" t="s">
        <v>627</v>
      </c>
      <c r="AC113" s="683" t="s">
        <v>481</v>
      </c>
    </row>
    <row r="114" spans="23:29">
      <c r="W114" s="680">
        <v>43617</v>
      </c>
      <c r="X114" s="674"/>
      <c r="AA114" s="681">
        <v>358.1</v>
      </c>
      <c r="AB114" s="682" t="s">
        <v>627</v>
      </c>
      <c r="AC114" s="683" t="s">
        <v>481</v>
      </c>
    </row>
    <row r="115" spans="23:29">
      <c r="W115" s="680">
        <v>43647</v>
      </c>
      <c r="X115" s="674"/>
      <c r="AA115" s="681">
        <v>361.9</v>
      </c>
      <c r="AB115" s="682" t="s">
        <v>627</v>
      </c>
      <c r="AC115" s="683" t="s">
        <v>481</v>
      </c>
    </row>
    <row r="116" spans="23:29">
      <c r="W116" s="680">
        <v>43678</v>
      </c>
      <c r="X116" s="684">
        <v>332</v>
      </c>
      <c r="Y116" s="682" t="s">
        <v>650</v>
      </c>
      <c r="Z116" s="682" t="s">
        <v>653</v>
      </c>
      <c r="AA116" s="681">
        <v>361.8</v>
      </c>
      <c r="AB116" s="682" t="s">
        <v>627</v>
      </c>
      <c r="AC116" s="683" t="s">
        <v>481</v>
      </c>
    </row>
    <row r="117" spans="23:29">
      <c r="W117" s="680">
        <v>43709</v>
      </c>
      <c r="X117" s="674"/>
      <c r="AA117" s="681">
        <v>361.4</v>
      </c>
      <c r="AB117" s="682" t="s">
        <v>627</v>
      </c>
      <c r="AC117" s="683" t="s">
        <v>481</v>
      </c>
    </row>
    <row r="118" spans="23:29">
      <c r="W118" s="680">
        <v>43739</v>
      </c>
      <c r="X118" s="674"/>
      <c r="AA118" s="681">
        <v>362.4</v>
      </c>
      <c r="AB118" s="682" t="s">
        <v>627</v>
      </c>
      <c r="AC118" s="683" t="s">
        <v>481</v>
      </c>
    </row>
    <row r="119" spans="23:29">
      <c r="W119" s="680">
        <v>43770</v>
      </c>
      <c r="X119" s="684">
        <v>333</v>
      </c>
      <c r="Y119" s="682" t="s">
        <v>650</v>
      </c>
      <c r="Z119" s="682" t="s">
        <v>481</v>
      </c>
      <c r="AA119" s="681">
        <v>361.1</v>
      </c>
      <c r="AB119" s="682" t="s">
        <v>650</v>
      </c>
      <c r="AC119" s="683" t="s">
        <v>481</v>
      </c>
    </row>
    <row r="120" spans="23:29">
      <c r="W120" s="680">
        <v>43800</v>
      </c>
      <c r="X120" s="674"/>
      <c r="AA120" s="681">
        <v>360</v>
      </c>
      <c r="AB120" s="682" t="s">
        <v>650</v>
      </c>
      <c r="AC120" s="683" t="s">
        <v>481</v>
      </c>
    </row>
    <row r="121" spans="23:29">
      <c r="W121" s="680">
        <v>43831</v>
      </c>
      <c r="X121" s="674"/>
      <c r="AA121" s="681">
        <v>360.4</v>
      </c>
      <c r="AB121" s="682" t="s">
        <v>650</v>
      </c>
      <c r="AC121" s="683" t="s">
        <v>481</v>
      </c>
    </row>
    <row r="122" spans="23:29">
      <c r="W122" s="680">
        <v>43862</v>
      </c>
      <c r="X122" s="684">
        <v>334</v>
      </c>
      <c r="Y122" s="682" t="s">
        <v>646</v>
      </c>
      <c r="Z122" s="682" t="s">
        <v>481</v>
      </c>
      <c r="AA122" s="681">
        <v>361.1</v>
      </c>
      <c r="AB122" s="682" t="s">
        <v>646</v>
      </c>
      <c r="AC122" s="683" t="s">
        <v>481</v>
      </c>
    </row>
    <row r="123" spans="23:29">
      <c r="W123" s="680">
        <v>43891</v>
      </c>
      <c r="X123" s="674"/>
      <c r="AA123" s="681">
        <v>363.4</v>
      </c>
      <c r="AB123" s="682" t="s">
        <v>646</v>
      </c>
      <c r="AC123" s="683" t="s">
        <v>481</v>
      </c>
    </row>
    <row r="124" spans="23:29">
      <c r="W124" s="680">
        <v>43922</v>
      </c>
      <c r="X124" s="674"/>
      <c r="AA124" s="681">
        <v>364.6</v>
      </c>
      <c r="AB124" s="682" t="s">
        <v>646</v>
      </c>
      <c r="AC124" s="683" t="s">
        <v>481</v>
      </c>
    </row>
    <row r="125" spans="23:29">
      <c r="W125" s="680">
        <v>43952</v>
      </c>
      <c r="X125" s="684">
        <v>339</v>
      </c>
      <c r="Y125" s="682" t="s">
        <v>646</v>
      </c>
      <c r="Z125" s="682" t="s">
        <v>481</v>
      </c>
      <c r="AA125" s="681">
        <v>365.1</v>
      </c>
      <c r="AB125" s="682" t="s">
        <v>646</v>
      </c>
      <c r="AC125" s="683" t="s">
        <v>481</v>
      </c>
    </row>
    <row r="126" spans="23:29">
      <c r="W126" s="680">
        <v>43983</v>
      </c>
      <c r="X126" s="674"/>
      <c r="AA126" s="681">
        <v>364.7</v>
      </c>
      <c r="AB126" s="682" t="s">
        <v>646</v>
      </c>
      <c r="AC126" s="683" t="s">
        <v>481</v>
      </c>
    </row>
    <row r="127" spans="23:29">
      <c r="W127" s="680">
        <v>44013</v>
      </c>
      <c r="X127" s="674"/>
      <c r="AA127" s="681">
        <v>368.7</v>
      </c>
      <c r="AB127" s="682" t="s">
        <v>646</v>
      </c>
      <c r="AC127" s="683" t="s">
        <v>481</v>
      </c>
    </row>
    <row r="128" spans="23:29">
      <c r="W128" s="680">
        <v>44044</v>
      </c>
      <c r="X128" s="684">
        <v>340</v>
      </c>
      <c r="Y128" s="682" t="s">
        <v>646</v>
      </c>
      <c r="Z128" s="682" t="s">
        <v>481</v>
      </c>
      <c r="AA128" s="681">
        <v>369</v>
      </c>
      <c r="AB128" s="682" t="s">
        <v>646</v>
      </c>
      <c r="AC128" s="683" t="s">
        <v>481</v>
      </c>
    </row>
    <row r="129" spans="23:29">
      <c r="W129" s="680">
        <v>44075</v>
      </c>
      <c r="X129" s="674"/>
      <c r="AA129" s="681">
        <v>369.2</v>
      </c>
      <c r="AB129" s="682" t="s">
        <v>646</v>
      </c>
      <c r="AC129" s="683" t="s">
        <v>481</v>
      </c>
    </row>
    <row r="130" spans="23:29">
      <c r="W130" s="680">
        <v>44105</v>
      </c>
      <c r="X130" s="674"/>
      <c r="AA130" s="681">
        <v>369.9</v>
      </c>
      <c r="AB130" s="682" t="s">
        <v>646</v>
      </c>
      <c r="AC130" s="683" t="s">
        <v>481</v>
      </c>
    </row>
    <row r="131" spans="23:29">
      <c r="W131" s="680">
        <v>44136</v>
      </c>
      <c r="X131" s="684">
        <v>342</v>
      </c>
      <c r="Y131" s="682" t="s">
        <v>646</v>
      </c>
      <c r="Z131" s="682" t="s">
        <v>481</v>
      </c>
      <c r="AA131" s="681">
        <v>370.1</v>
      </c>
      <c r="AB131" s="682" t="s">
        <v>646</v>
      </c>
      <c r="AC131" s="683" t="s">
        <v>481</v>
      </c>
    </row>
    <row r="132" spans="23:29">
      <c r="W132" s="680">
        <v>44166</v>
      </c>
      <c r="X132" s="674"/>
      <c r="AA132" s="681">
        <v>370.1</v>
      </c>
      <c r="AB132" s="682" t="s">
        <v>646</v>
      </c>
      <c r="AC132" s="683" t="s">
        <v>481</v>
      </c>
    </row>
    <row r="133" spans="23:29">
      <c r="W133" s="680">
        <v>44197</v>
      </c>
      <c r="X133" s="674"/>
      <c r="AA133" s="681">
        <v>373.2</v>
      </c>
      <c r="AB133" s="682" t="s">
        <v>646</v>
      </c>
      <c r="AC133" s="683" t="s">
        <v>481</v>
      </c>
    </row>
    <row r="134" spans="23:29">
      <c r="W134" s="680">
        <v>44228</v>
      </c>
      <c r="X134" s="684">
        <v>352</v>
      </c>
      <c r="Y134" s="682" t="s">
        <v>646</v>
      </c>
      <c r="Z134" s="682" t="s">
        <v>481</v>
      </c>
      <c r="AA134" s="681">
        <v>376</v>
      </c>
      <c r="AB134" s="682" t="s">
        <v>646</v>
      </c>
      <c r="AC134" s="683" t="s">
        <v>481</v>
      </c>
    </row>
    <row r="135" spans="23:29">
      <c r="W135" s="680">
        <v>44256</v>
      </c>
      <c r="X135" s="674"/>
      <c r="AA135" s="681">
        <v>376.9</v>
      </c>
      <c r="AB135" s="682" t="s">
        <v>646</v>
      </c>
      <c r="AC135" s="683" t="s">
        <v>481</v>
      </c>
    </row>
    <row r="136" spans="23:29">
      <c r="W136" s="680">
        <v>44287</v>
      </c>
      <c r="X136" s="674"/>
      <c r="AA136" s="681">
        <v>378.7</v>
      </c>
      <c r="AB136" s="682" t="s">
        <v>646</v>
      </c>
      <c r="AC136" s="683" t="s">
        <v>481</v>
      </c>
    </row>
    <row r="137" spans="23:29">
      <c r="W137" s="680">
        <v>44317</v>
      </c>
      <c r="X137" s="684">
        <v>358</v>
      </c>
      <c r="Y137" s="682" t="s">
        <v>646</v>
      </c>
      <c r="Z137" s="682" t="s">
        <v>481</v>
      </c>
      <c r="AA137" s="681">
        <v>379.6</v>
      </c>
      <c r="AB137" s="682" t="s">
        <v>646</v>
      </c>
      <c r="AC137" s="683" t="s">
        <v>481</v>
      </c>
    </row>
    <row r="138" spans="23:29">
      <c r="W138" s="680">
        <v>44348</v>
      </c>
      <c r="X138" s="674"/>
      <c r="AA138" s="681">
        <v>379.4</v>
      </c>
      <c r="AB138" s="682" t="s">
        <v>646</v>
      </c>
      <c r="AC138" s="683" t="s">
        <v>481</v>
      </c>
    </row>
    <row r="139" spans="23:29">
      <c r="W139" s="680">
        <v>44378</v>
      </c>
      <c r="X139" s="674"/>
      <c r="AA139" s="681">
        <v>384.6</v>
      </c>
      <c r="AB139" s="682" t="s">
        <v>646</v>
      </c>
      <c r="AC139" s="683" t="s">
        <v>481</v>
      </c>
    </row>
    <row r="140" spans="23:29">
      <c r="W140" s="680">
        <v>44409</v>
      </c>
      <c r="X140" s="684">
        <v>359</v>
      </c>
      <c r="Y140" s="682" t="s">
        <v>646</v>
      </c>
      <c r="Z140" s="682" t="s">
        <v>481</v>
      </c>
      <c r="AA140" s="681">
        <v>385</v>
      </c>
      <c r="AB140" s="682" t="s">
        <v>646</v>
      </c>
      <c r="AC140" s="683" t="s">
        <v>481</v>
      </c>
    </row>
    <row r="141" spans="23:29">
      <c r="W141" s="680">
        <v>44440</v>
      </c>
      <c r="X141" s="674"/>
      <c r="AA141" s="681">
        <v>385.1</v>
      </c>
      <c r="AB141" s="682" t="s">
        <v>646</v>
      </c>
      <c r="AC141" s="683" t="s">
        <v>481</v>
      </c>
    </row>
    <row r="142" spans="23:29">
      <c r="W142" s="680">
        <v>44470</v>
      </c>
      <c r="X142" s="674"/>
      <c r="AA142" s="681">
        <v>386.2</v>
      </c>
      <c r="AB142" s="682" t="s">
        <v>646</v>
      </c>
      <c r="AC142" s="683" t="s">
        <v>481</v>
      </c>
    </row>
    <row r="143" spans="23:29">
      <c r="W143" s="680">
        <v>44501</v>
      </c>
      <c r="X143" s="684">
        <v>363</v>
      </c>
      <c r="Y143" s="682" t="s">
        <v>646</v>
      </c>
      <c r="Z143" s="682" t="s">
        <v>481</v>
      </c>
      <c r="AA143" s="681">
        <v>386.2</v>
      </c>
      <c r="AB143" s="682" t="s">
        <v>646</v>
      </c>
      <c r="AC143" s="683" t="s">
        <v>481</v>
      </c>
    </row>
    <row r="144" spans="23:29">
      <c r="W144" s="680">
        <v>44531</v>
      </c>
      <c r="X144" s="674"/>
      <c r="AA144" s="681">
        <v>386</v>
      </c>
      <c r="AB144" s="682" t="s">
        <v>646</v>
      </c>
      <c r="AC144" s="683" t="s">
        <v>481</v>
      </c>
    </row>
    <row r="145" spans="23:29">
      <c r="W145" s="680">
        <v>44562</v>
      </c>
      <c r="X145" s="674"/>
      <c r="AA145" s="681">
        <v>387.8</v>
      </c>
      <c r="AB145" s="682" t="s">
        <v>646</v>
      </c>
      <c r="AC145" s="683" t="s">
        <v>481</v>
      </c>
    </row>
    <row r="146" spans="23:29">
      <c r="W146" s="680">
        <v>44593</v>
      </c>
      <c r="X146" s="684">
        <v>372</v>
      </c>
      <c r="Y146" s="682" t="s">
        <v>646</v>
      </c>
      <c r="Z146" s="682" t="s">
        <v>481</v>
      </c>
      <c r="AA146" s="681">
        <v>388.9</v>
      </c>
      <c r="AB146" s="682" t="s">
        <v>646</v>
      </c>
      <c r="AC146" s="683" t="s">
        <v>481</v>
      </c>
    </row>
    <row r="147" spans="23:29">
      <c r="W147" s="680">
        <v>44621</v>
      </c>
      <c r="X147" s="674"/>
      <c r="AA147" s="681">
        <v>389.7</v>
      </c>
      <c r="AB147" s="682" t="s">
        <v>646</v>
      </c>
      <c r="AC147" s="683" t="s">
        <v>481</v>
      </c>
    </row>
    <row r="148" spans="23:29">
      <c r="W148" s="680">
        <v>44652</v>
      </c>
      <c r="X148" s="674"/>
      <c r="AA148" s="681">
        <v>391.4</v>
      </c>
      <c r="AB148" s="682" t="s">
        <v>646</v>
      </c>
      <c r="AC148" s="683" t="s">
        <v>481</v>
      </c>
    </row>
    <row r="149" spans="23:29">
      <c r="W149" s="680">
        <v>44682</v>
      </c>
      <c r="X149" s="684">
        <v>378</v>
      </c>
      <c r="Y149" s="682" t="s">
        <v>646</v>
      </c>
      <c r="Z149" s="682" t="s">
        <v>481</v>
      </c>
      <c r="AA149" s="681">
        <v>392.7</v>
      </c>
      <c r="AB149" s="682" t="s">
        <v>646</v>
      </c>
      <c r="AC149" s="683" t="s">
        <v>481</v>
      </c>
    </row>
    <row r="150" spans="23:29">
      <c r="W150" s="680">
        <v>44713</v>
      </c>
      <c r="X150" s="674"/>
      <c r="AA150" s="681">
        <v>392.8</v>
      </c>
      <c r="AB150" s="682" t="s">
        <v>646</v>
      </c>
      <c r="AC150" s="683" t="s">
        <v>481</v>
      </c>
    </row>
    <row r="151" spans="23:29">
      <c r="W151" s="680">
        <v>44743</v>
      </c>
      <c r="X151" s="674"/>
      <c r="AA151" s="681">
        <v>398.4</v>
      </c>
      <c r="AB151" s="682" t="s">
        <v>646</v>
      </c>
      <c r="AC151" s="683" t="s">
        <v>481</v>
      </c>
    </row>
    <row r="152" spans="23:29">
      <c r="W152" s="680">
        <v>44774</v>
      </c>
      <c r="X152" s="684">
        <v>379</v>
      </c>
      <c r="Y152" s="682" t="s">
        <v>646</v>
      </c>
      <c r="Z152" s="682" t="s">
        <v>481</v>
      </c>
      <c r="AA152" s="681">
        <v>399</v>
      </c>
      <c r="AB152" s="682" t="s">
        <v>646</v>
      </c>
      <c r="AC152" s="683" t="s">
        <v>481</v>
      </c>
    </row>
    <row r="153" spans="23:29">
      <c r="W153" s="680">
        <v>44805</v>
      </c>
      <c r="X153" s="674"/>
      <c r="AA153" s="681">
        <v>399.3</v>
      </c>
      <c r="AB153" s="682" t="s">
        <v>646</v>
      </c>
      <c r="AC153" s="683" t="s">
        <v>481</v>
      </c>
    </row>
    <row r="154" spans="23:29">
      <c r="W154" s="680">
        <v>44835</v>
      </c>
      <c r="X154" s="674"/>
      <c r="AA154" s="681">
        <v>400.9</v>
      </c>
      <c r="AB154" s="682" t="s">
        <v>646</v>
      </c>
      <c r="AC154" s="683" t="s">
        <v>481</v>
      </c>
    </row>
    <row r="155" spans="23:29">
      <c r="W155" s="680">
        <v>44866</v>
      </c>
      <c r="X155" s="684">
        <v>383</v>
      </c>
      <c r="Y155" s="682" t="s">
        <v>646</v>
      </c>
      <c r="Z155" s="682" t="s">
        <v>481</v>
      </c>
      <c r="AA155" s="681">
        <v>401.4</v>
      </c>
      <c r="AB155" s="682" t="s">
        <v>646</v>
      </c>
      <c r="AC155" s="683" t="s">
        <v>481</v>
      </c>
    </row>
    <row r="156" spans="23:29">
      <c r="W156" s="680">
        <v>44896</v>
      </c>
      <c r="X156" s="674"/>
      <c r="AA156" s="681">
        <v>401.9</v>
      </c>
      <c r="AB156" s="682" t="s">
        <v>646</v>
      </c>
      <c r="AC156" s="683" t="s">
        <v>481</v>
      </c>
    </row>
    <row r="157" spans="23:29">
      <c r="W157" s="680">
        <v>44927</v>
      </c>
      <c r="X157" s="674"/>
      <c r="AA157" s="681">
        <v>403</v>
      </c>
      <c r="AB157" s="682" t="s">
        <v>646</v>
      </c>
      <c r="AC157" s="683" t="s">
        <v>481</v>
      </c>
    </row>
    <row r="158" spans="23:29">
      <c r="W158" s="680">
        <v>44958</v>
      </c>
      <c r="X158" s="684">
        <v>393</v>
      </c>
      <c r="Y158" s="682" t="s">
        <v>646</v>
      </c>
      <c r="Z158" s="682" t="s">
        <v>481</v>
      </c>
      <c r="AA158" s="681">
        <v>403.8</v>
      </c>
      <c r="AB158" s="682" t="s">
        <v>646</v>
      </c>
      <c r="AC158" s="683" t="s">
        <v>481</v>
      </c>
    </row>
    <row r="159" spans="23:29">
      <c r="W159" s="680">
        <v>44986</v>
      </c>
      <c r="X159" s="674"/>
      <c r="AA159" s="681">
        <v>404.2</v>
      </c>
      <c r="AB159" s="682" t="s">
        <v>646</v>
      </c>
      <c r="AC159" s="683" t="s">
        <v>481</v>
      </c>
    </row>
    <row r="160" spans="23:29">
      <c r="W160" s="680">
        <v>45017</v>
      </c>
      <c r="X160" s="674"/>
      <c r="AA160" s="681">
        <v>406</v>
      </c>
      <c r="AB160" s="682" t="s">
        <v>646</v>
      </c>
      <c r="AC160" s="683" t="s">
        <v>481</v>
      </c>
    </row>
    <row r="161" spans="23:29">
      <c r="W161" s="680">
        <v>45047</v>
      </c>
      <c r="X161" s="684">
        <v>399</v>
      </c>
      <c r="Y161" s="682" t="s">
        <v>646</v>
      </c>
      <c r="Z161" s="682" t="s">
        <v>481</v>
      </c>
      <c r="AA161" s="681">
        <v>407.1</v>
      </c>
      <c r="AB161" s="682" t="s">
        <v>646</v>
      </c>
      <c r="AC161" s="683" t="s">
        <v>481</v>
      </c>
    </row>
    <row r="162" spans="23:29">
      <c r="W162" s="680">
        <v>45078</v>
      </c>
      <c r="X162" s="674"/>
      <c r="AA162" s="681">
        <v>407.1</v>
      </c>
      <c r="AB162" s="682" t="s">
        <v>646</v>
      </c>
      <c r="AC162" s="683" t="s">
        <v>481</v>
      </c>
    </row>
    <row r="163" spans="23:29">
      <c r="W163" s="680">
        <v>45108</v>
      </c>
      <c r="X163" s="674"/>
      <c r="AA163" s="681">
        <v>411.6</v>
      </c>
      <c r="AB163" s="682" t="s">
        <v>646</v>
      </c>
      <c r="AC163" s="683" t="s">
        <v>481</v>
      </c>
    </row>
    <row r="164" spans="23:29">
      <c r="W164" s="680">
        <v>45139</v>
      </c>
      <c r="X164" s="684">
        <v>400</v>
      </c>
      <c r="Y164" s="682" t="s">
        <v>646</v>
      </c>
      <c r="Z164" s="682" t="s">
        <v>481</v>
      </c>
      <c r="AA164" s="681">
        <v>412.3</v>
      </c>
      <c r="AB164" s="682" t="s">
        <v>646</v>
      </c>
      <c r="AC164" s="683" t="s">
        <v>481</v>
      </c>
    </row>
    <row r="165" spans="23:29">
      <c r="W165" s="680">
        <v>45170</v>
      </c>
      <c r="X165" s="674"/>
      <c r="AA165" s="681">
        <v>412.6</v>
      </c>
      <c r="AB165" s="682" t="s">
        <v>646</v>
      </c>
      <c r="AC165" s="683" t="s">
        <v>481</v>
      </c>
    </row>
    <row r="166" spans="23:29">
      <c r="W166" s="680">
        <v>45200</v>
      </c>
      <c r="X166" s="674"/>
      <c r="AA166" s="681">
        <v>414.2</v>
      </c>
      <c r="AB166" s="682" t="s">
        <v>646</v>
      </c>
      <c r="AC166" s="683" t="s">
        <v>481</v>
      </c>
    </row>
    <row r="167" spans="23:29">
      <c r="W167" s="680">
        <v>45231</v>
      </c>
      <c r="X167" s="684">
        <v>403</v>
      </c>
      <c r="Y167" s="682" t="s">
        <v>646</v>
      </c>
      <c r="Z167" s="682" t="s">
        <v>481</v>
      </c>
      <c r="AA167" s="681">
        <v>415.1</v>
      </c>
      <c r="AB167" s="682" t="s">
        <v>646</v>
      </c>
      <c r="AC167" s="683" t="s">
        <v>481</v>
      </c>
    </row>
    <row r="168" spans="23:29">
      <c r="W168" s="680">
        <v>45261</v>
      </c>
      <c r="X168" s="674"/>
      <c r="AA168" s="681">
        <v>415.8</v>
      </c>
      <c r="AB168" s="682" t="s">
        <v>646</v>
      </c>
      <c r="AC168" s="683" t="s">
        <v>481</v>
      </c>
    </row>
    <row r="169" spans="23:29">
      <c r="W169" s="680">
        <v>45292</v>
      </c>
      <c r="X169" s="674"/>
      <c r="AA169" s="681">
        <v>416.9</v>
      </c>
      <c r="AB169" s="682" t="s">
        <v>646</v>
      </c>
      <c r="AC169" s="683" t="s">
        <v>481</v>
      </c>
    </row>
    <row r="170" spans="23:29">
      <c r="W170" s="680">
        <v>45323</v>
      </c>
      <c r="X170" s="684">
        <v>413</v>
      </c>
      <c r="Y170" s="682" t="s">
        <v>646</v>
      </c>
      <c r="Z170" s="682" t="s">
        <v>481</v>
      </c>
      <c r="AA170" s="681">
        <v>417.6</v>
      </c>
      <c r="AB170" s="682" t="s">
        <v>646</v>
      </c>
      <c r="AC170" s="683" t="s">
        <v>481</v>
      </c>
    </row>
    <row r="171" spans="23:29">
      <c r="W171" s="680">
        <v>45352</v>
      </c>
      <c r="X171" s="674"/>
      <c r="AA171" s="681">
        <v>417.8</v>
      </c>
      <c r="AB171" s="682" t="s">
        <v>646</v>
      </c>
      <c r="AC171" s="683" t="s">
        <v>481</v>
      </c>
    </row>
    <row r="172" spans="23:29">
      <c r="W172" s="680">
        <v>45383</v>
      </c>
      <c r="X172" s="674"/>
      <c r="AA172" s="681">
        <v>419.6</v>
      </c>
      <c r="AB172" s="682" t="s">
        <v>646</v>
      </c>
      <c r="AC172" s="683" t="s">
        <v>481</v>
      </c>
    </row>
    <row r="173" spans="23:29">
      <c r="W173" s="680">
        <v>45413</v>
      </c>
      <c r="X173" s="684">
        <v>417</v>
      </c>
      <c r="Y173" s="682" t="s">
        <v>646</v>
      </c>
      <c r="Z173" s="682" t="s">
        <v>481</v>
      </c>
      <c r="AA173" s="681">
        <v>420.7</v>
      </c>
      <c r="AB173" s="682" t="s">
        <v>646</v>
      </c>
      <c r="AC173" s="683" t="s">
        <v>481</v>
      </c>
    </row>
    <row r="174" spans="23:29">
      <c r="W174" s="680">
        <v>45444</v>
      </c>
      <c r="X174" s="674"/>
      <c r="AA174" s="681">
        <v>420.6</v>
      </c>
      <c r="AB174" s="682" t="s">
        <v>646</v>
      </c>
      <c r="AC174" s="683" t="s">
        <v>481</v>
      </c>
    </row>
    <row r="175" spans="23:29">
      <c r="W175" s="680">
        <v>45474</v>
      </c>
      <c r="X175" s="674"/>
      <c r="AA175" s="681">
        <v>425.2</v>
      </c>
      <c r="AB175" s="682" t="s">
        <v>646</v>
      </c>
      <c r="AC175" s="683" t="s">
        <v>481</v>
      </c>
    </row>
    <row r="176" spans="23:29">
      <c r="W176" s="680">
        <v>45505</v>
      </c>
      <c r="X176" s="684">
        <v>418</v>
      </c>
      <c r="Y176" s="682" t="s">
        <v>646</v>
      </c>
      <c r="Z176" s="682" t="s">
        <v>481</v>
      </c>
      <c r="AA176" s="681">
        <v>425.7</v>
      </c>
      <c r="AB176" s="682" t="s">
        <v>646</v>
      </c>
      <c r="AC176" s="683" t="s">
        <v>481</v>
      </c>
    </row>
    <row r="177" spans="23:29">
      <c r="W177" s="685">
        <v>45536</v>
      </c>
      <c r="X177" s="686"/>
      <c r="Y177" s="687"/>
      <c r="Z177" s="687"/>
      <c r="AA177" s="688">
        <v>426</v>
      </c>
      <c r="AB177" s="689" t="s">
        <v>646</v>
      </c>
      <c r="AC177" s="690" t="s">
        <v>481</v>
      </c>
    </row>
  </sheetData>
  <sortState xmlns:xlrd2="http://schemas.microsoft.com/office/spreadsheetml/2017/richdata2" ref="A27:J35">
    <sortCondition ref="D27:D35"/>
  </sortState>
  <mergeCells count="14">
    <mergeCell ref="Q8:Q9"/>
    <mergeCell ref="R8:R9"/>
    <mergeCell ref="L7:S7"/>
    <mergeCell ref="L8:M8"/>
    <mergeCell ref="N8:O8"/>
    <mergeCell ref="S8:S9"/>
    <mergeCell ref="P8:P9"/>
    <mergeCell ref="X8:Z8"/>
    <mergeCell ref="X3:Z3"/>
    <mergeCell ref="AA3:AC3"/>
    <mergeCell ref="X5:Z5"/>
    <mergeCell ref="AA5:AC5"/>
    <mergeCell ref="X7:Z7"/>
    <mergeCell ref="AA7:AC7"/>
  </mergeCells>
  <phoneticPr fontId="39" type="noConversion"/>
  <pageMargins left="0.7" right="0.7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 tint="0.39997558519241921"/>
    <pageSetUpPr fitToPage="1"/>
  </sheetPr>
  <dimension ref="A1:AH33"/>
  <sheetViews>
    <sheetView workbookViewId="0">
      <selection activeCell="L1" sqref="L1:S1048576"/>
    </sheetView>
  </sheetViews>
  <sheetFormatPr baseColWidth="10" defaultColWidth="8.83203125" defaultRowHeight="15"/>
  <cols>
    <col min="1" max="1" width="4" customWidth="1"/>
    <col min="7" max="7" width="9.33203125" bestFit="1" customWidth="1"/>
    <col min="8" max="8" width="6.5" customWidth="1"/>
    <col min="9" max="9" width="10.83203125" customWidth="1"/>
    <col min="10" max="10" width="13.33203125" customWidth="1"/>
    <col min="11" max="11" width="1.83203125" customWidth="1"/>
    <col min="12" max="12" width="13.83203125" hidden="1" customWidth="1"/>
    <col min="13" max="15" width="15.5" hidden="1" customWidth="1"/>
    <col min="16" max="19" width="11.6640625" hidden="1" customWidth="1"/>
    <col min="21" max="25" width="13.33203125" customWidth="1"/>
    <col min="26" max="26" width="1.83203125" customWidth="1"/>
    <col min="27" max="34" width="12.6640625" hidden="1" customWidth="1"/>
  </cols>
  <sheetData>
    <row r="1" spans="1:34" s="1" customFormat="1"/>
    <row r="2" spans="1:34" s="1" customFormat="1" ht="16.5" customHeight="1">
      <c r="B2" s="1" t="str">
        <f>'Breakdown Summary'!B2</f>
        <v>Trows Farm, Castleton</v>
      </c>
      <c r="G2" s="1" t="str">
        <f>'Breakdown Summary'!G2</f>
        <v>Date</v>
      </c>
      <c r="H2" s="1045">
        <f>'Breakdown Summary'!H2</f>
        <v>45453</v>
      </c>
      <c r="I2" s="1045"/>
      <c r="J2" s="1" t="str">
        <f>'Breakdown Summary'!J2</f>
        <v>Ver - 6</v>
      </c>
      <c r="S2" s="49"/>
      <c r="AH2" s="49"/>
    </row>
    <row r="3" spans="1:34" s="1" customFormat="1">
      <c r="B3" s="1" t="str">
        <f>'Breakdown Summary'!B3</f>
        <v>Cowm Top Lane, Rochdale</v>
      </c>
      <c r="G3" s="1" t="str">
        <f>'Breakdown Summary'!H3</f>
        <v>Breakdown of Abnormal Costs</v>
      </c>
    </row>
    <row r="4" spans="1:34" s="1" customFormat="1" ht="15" customHeight="1"/>
    <row r="5" spans="1:34" s="1" customFormat="1" ht="15" customHeight="1">
      <c r="A5" s="1046" t="s">
        <v>0</v>
      </c>
      <c r="B5" s="1054" t="s">
        <v>1</v>
      </c>
      <c r="C5" s="1055"/>
      <c r="D5" s="1055"/>
      <c r="E5" s="1055"/>
      <c r="F5" s="1056"/>
      <c r="G5" s="1046" t="s">
        <v>6</v>
      </c>
      <c r="H5" s="1046" t="s">
        <v>5</v>
      </c>
      <c r="I5" s="1046" t="s">
        <v>2</v>
      </c>
      <c r="J5" s="1046" t="s">
        <v>3</v>
      </c>
      <c r="L5" s="1124" t="str">
        <f>'Breakdown Summary'!L5:S5</f>
        <v>Phasing Breakdown</v>
      </c>
      <c r="M5" s="1125"/>
      <c r="N5" s="1125"/>
      <c r="O5" s="1125"/>
      <c r="P5" s="1125"/>
      <c r="Q5" s="1125"/>
      <c r="R5" s="1125"/>
      <c r="S5" s="1126"/>
      <c r="U5" s="195"/>
      <c r="V5" s="195"/>
      <c r="W5" s="195"/>
      <c r="X5" s="195"/>
      <c r="Y5" s="195"/>
      <c r="AA5" s="1124" t="s">
        <v>17</v>
      </c>
      <c r="AB5" s="1125"/>
      <c r="AC5" s="1125"/>
      <c r="AD5" s="1125"/>
      <c r="AE5" s="1125"/>
      <c r="AF5" s="1125"/>
      <c r="AG5" s="1125"/>
      <c r="AH5" s="1126"/>
    </row>
    <row r="6" spans="1:34" s="1" customFormat="1" ht="15" customHeight="1">
      <c r="A6" s="1047"/>
      <c r="B6" s="1057"/>
      <c r="C6" s="1058"/>
      <c r="D6" s="1058"/>
      <c r="E6" s="1058"/>
      <c r="F6" s="1059"/>
      <c r="G6" s="1047"/>
      <c r="H6" s="1047"/>
      <c r="I6" s="1047"/>
      <c r="J6" s="1047"/>
      <c r="L6" s="1127" t="str">
        <f>'Breakdown Summary'!L6</f>
        <v>Site 1</v>
      </c>
      <c r="M6" s="1128"/>
      <c r="N6" s="1127">
        <f>'Breakdown Summary'!N6</f>
        <v>0</v>
      </c>
      <c r="O6" s="1128"/>
      <c r="P6" s="1063">
        <f>'Breakdown Summary'!P6:P7</f>
        <v>0</v>
      </c>
      <c r="Q6" s="1063">
        <f>'Breakdown Summary'!Q6:Q7</f>
        <v>0</v>
      </c>
      <c r="R6" s="1063">
        <f>'Breakdown Summary'!R6:R7</f>
        <v>0</v>
      </c>
      <c r="S6" s="1063">
        <f>'Breakdown Summary'!S6:S7</f>
        <v>0</v>
      </c>
      <c r="U6" s="195"/>
      <c r="V6" s="195"/>
      <c r="W6" s="195"/>
      <c r="X6" s="195"/>
      <c r="Y6" s="195"/>
      <c r="AA6" s="1127" t="s">
        <v>15</v>
      </c>
      <c r="AB6" s="1140"/>
      <c r="AC6" s="1140"/>
      <c r="AD6" s="1140"/>
      <c r="AE6" s="1128"/>
      <c r="AF6" s="1063" t="s">
        <v>12</v>
      </c>
      <c r="AG6" s="1063" t="s">
        <v>13</v>
      </c>
      <c r="AH6" s="1063" t="s">
        <v>14</v>
      </c>
    </row>
    <row r="7" spans="1:34">
      <c r="A7" s="1047"/>
      <c r="B7" s="1057"/>
      <c r="C7" s="1058"/>
      <c r="D7" s="1058"/>
      <c r="E7" s="1058"/>
      <c r="F7" s="1059"/>
      <c r="G7" s="1047"/>
      <c r="H7" s="1047"/>
      <c r="I7" s="1047"/>
      <c r="J7" s="1047"/>
      <c r="L7" s="59" t="str">
        <f>'Breakdown Summary'!L7</f>
        <v>Barratt</v>
      </c>
      <c r="M7" s="59" t="str">
        <f>'Breakdown Summary'!M7</f>
        <v>David Wilson</v>
      </c>
      <c r="N7" s="59" t="str">
        <f>'Breakdown Summary'!N7</f>
        <v>Phs</v>
      </c>
      <c r="O7" s="59" t="str">
        <f>'Breakdown Summary'!O7</f>
        <v>Phs</v>
      </c>
      <c r="P7" s="1065"/>
      <c r="Q7" s="1065"/>
      <c r="R7" s="1065"/>
      <c r="S7" s="1065"/>
      <c r="U7" s="195"/>
      <c r="V7" s="195"/>
      <c r="W7" s="195"/>
      <c r="X7" s="195"/>
      <c r="Y7" s="195"/>
      <c r="AA7" s="59">
        <v>1</v>
      </c>
      <c r="AB7" s="59">
        <v>2</v>
      </c>
      <c r="AC7" s="59">
        <v>3</v>
      </c>
      <c r="AD7" s="59">
        <v>4</v>
      </c>
      <c r="AE7" s="59">
        <v>5</v>
      </c>
      <c r="AF7" s="1065"/>
      <c r="AG7" s="1065"/>
      <c r="AH7" s="1065"/>
    </row>
    <row r="8" spans="1:34" s="1" customFormat="1">
      <c r="A8" s="1048"/>
      <c r="B8" s="1060"/>
      <c r="C8" s="1061"/>
      <c r="D8" s="1061"/>
      <c r="E8" s="1061"/>
      <c r="F8" s="1062"/>
      <c r="G8" s="1048"/>
      <c r="H8" s="1048"/>
      <c r="I8" s="1048"/>
      <c r="J8" s="1048"/>
      <c r="L8" s="242">
        <f>'Breakdown Summary'!L13</f>
        <v>19.11</v>
      </c>
      <c r="M8" s="242">
        <f>'Breakdown Summary'!M13</f>
        <v>10.009886307464162</v>
      </c>
      <c r="N8" s="242">
        <f>'Breakdown Summary'!N13</f>
        <v>0</v>
      </c>
      <c r="O8" s="242">
        <f>'Breakdown Summary'!O13</f>
        <v>0</v>
      </c>
      <c r="P8" s="62">
        <f>'Breakdown Summary'!P13</f>
        <v>0</v>
      </c>
      <c r="Q8" s="60"/>
      <c r="R8" s="61"/>
      <c r="S8" s="61"/>
      <c r="U8" s="195"/>
      <c r="V8" s="195"/>
      <c r="W8" s="195"/>
      <c r="X8" s="195"/>
      <c r="Y8" s="195"/>
      <c r="AA8" s="62">
        <v>1</v>
      </c>
      <c r="AB8" s="62">
        <v>0</v>
      </c>
      <c r="AC8" s="62">
        <v>0</v>
      </c>
      <c r="AD8" s="62">
        <v>0</v>
      </c>
      <c r="AE8" s="62">
        <v>0</v>
      </c>
      <c r="AF8" s="60">
        <v>0</v>
      </c>
      <c r="AG8" s="61">
        <v>0</v>
      </c>
      <c r="AH8" s="61">
        <v>0</v>
      </c>
    </row>
    <row r="9" spans="1:34">
      <c r="A9" s="16"/>
      <c r="B9" s="3"/>
      <c r="C9" s="4"/>
      <c r="D9" s="4"/>
      <c r="E9" s="4"/>
      <c r="F9" s="5"/>
      <c r="G9" s="11"/>
      <c r="H9" s="12"/>
      <c r="I9" s="21"/>
      <c r="J9" s="12"/>
      <c r="L9" s="3"/>
      <c r="M9" s="58"/>
      <c r="N9" s="4"/>
      <c r="O9" s="58"/>
      <c r="P9" s="4"/>
      <c r="Q9" s="58"/>
      <c r="R9" s="58"/>
      <c r="S9" s="5"/>
      <c r="U9" s="21"/>
      <c r="V9" s="21"/>
      <c r="W9" s="21"/>
      <c r="X9" s="21"/>
      <c r="Y9" s="21"/>
      <c r="AA9" s="3"/>
      <c r="AB9" s="58"/>
      <c r="AC9" s="4"/>
      <c r="AD9" s="58"/>
      <c r="AE9" s="4"/>
      <c r="AF9" s="58"/>
      <c r="AG9" s="58"/>
      <c r="AH9" s="5"/>
    </row>
    <row r="10" spans="1:34">
      <c r="A10" s="19">
        <v>2</v>
      </c>
      <c r="B10" s="20" t="s">
        <v>113</v>
      </c>
      <c r="F10" s="7"/>
      <c r="G10" s="11"/>
      <c r="H10" s="13"/>
      <c r="I10" s="21"/>
      <c r="J10" s="13"/>
      <c r="L10" s="6"/>
      <c r="M10" s="2"/>
      <c r="O10" s="2"/>
      <c r="Q10" s="2"/>
      <c r="R10" s="2"/>
      <c r="S10" s="7"/>
      <c r="U10" s="21"/>
      <c r="V10" s="21"/>
      <c r="W10" s="21"/>
      <c r="X10" s="21"/>
      <c r="Y10" s="21"/>
      <c r="AA10" s="6"/>
      <c r="AB10" s="2"/>
      <c r="AD10" s="2"/>
      <c r="AF10" s="2"/>
      <c r="AG10" s="2"/>
      <c r="AH10" s="7"/>
    </row>
    <row r="11" spans="1:34">
      <c r="A11" s="19"/>
      <c r="B11" s="20"/>
      <c r="F11" s="7"/>
      <c r="G11" s="11"/>
      <c r="H11" s="13"/>
      <c r="I11" s="21"/>
      <c r="J11" s="13"/>
      <c r="L11" s="6"/>
      <c r="M11" s="2"/>
      <c r="O11" s="2"/>
      <c r="Q11" s="2"/>
      <c r="R11" s="2"/>
      <c r="S11" s="7"/>
      <c r="U11" s="21"/>
      <c r="V11" s="21"/>
      <c r="W11" s="21"/>
      <c r="X11" s="21"/>
      <c r="Y11" s="21"/>
      <c r="AA11" s="6"/>
      <c r="AB11" s="2"/>
      <c r="AD11" s="2"/>
      <c r="AF11" s="2"/>
      <c r="AG11" s="2"/>
      <c r="AH11" s="7"/>
    </row>
    <row r="12" spans="1:34" ht="15" customHeight="1">
      <c r="A12" s="19"/>
      <c r="B12" s="20" t="s">
        <v>36</v>
      </c>
      <c r="F12" s="7"/>
      <c r="G12" s="11"/>
      <c r="H12" s="13"/>
      <c r="I12" s="21"/>
      <c r="J12" s="13"/>
      <c r="L12" s="6"/>
      <c r="M12" s="2"/>
      <c r="O12" s="2"/>
      <c r="Q12" s="2"/>
      <c r="R12" s="2"/>
      <c r="S12" s="7"/>
      <c r="U12" s="21"/>
      <c r="V12" s="21"/>
      <c r="W12" s="21"/>
      <c r="X12" s="21"/>
      <c r="Y12" s="21"/>
      <c r="AA12" s="6"/>
      <c r="AB12" s="2"/>
      <c r="AD12" s="2"/>
      <c r="AF12" s="2"/>
      <c r="AG12" s="2"/>
      <c r="AH12" s="7"/>
    </row>
    <row r="13" spans="1:34">
      <c r="A13" s="19"/>
      <c r="B13" s="20"/>
      <c r="F13" s="7"/>
      <c r="G13" s="11"/>
      <c r="H13" s="13"/>
      <c r="I13" s="21"/>
      <c r="J13" s="13"/>
      <c r="L13" s="6"/>
      <c r="M13" s="2"/>
      <c r="O13" s="2"/>
      <c r="Q13" s="2"/>
      <c r="R13" s="2"/>
      <c r="S13" s="7"/>
      <c r="U13" s="21"/>
      <c r="V13" s="21"/>
      <c r="W13" s="21"/>
      <c r="X13" s="21"/>
      <c r="Y13" s="21"/>
      <c r="AA13" s="6"/>
      <c r="AB13" s="2"/>
      <c r="AD13" s="2"/>
      <c r="AF13" s="2"/>
      <c r="AG13" s="2"/>
      <c r="AH13" s="7"/>
    </row>
    <row r="14" spans="1:34">
      <c r="A14" s="19"/>
      <c r="B14" s="20"/>
      <c r="F14" s="7"/>
      <c r="G14" s="11"/>
      <c r="H14" s="13"/>
      <c r="I14" s="21"/>
      <c r="J14" s="13"/>
      <c r="L14" s="6"/>
      <c r="M14" s="2"/>
      <c r="O14" s="2"/>
      <c r="Q14" s="2"/>
      <c r="R14" s="2"/>
      <c r="S14" s="7"/>
      <c r="U14" s="21"/>
      <c r="V14" s="21"/>
      <c r="W14" s="21"/>
      <c r="X14" s="21"/>
      <c r="Y14" s="21"/>
      <c r="AA14" s="6"/>
      <c r="AB14" s="2"/>
      <c r="AD14" s="2"/>
      <c r="AF14" s="2"/>
      <c r="AG14" s="2"/>
      <c r="AH14" s="7"/>
    </row>
    <row r="15" spans="1:34">
      <c r="A15" s="17"/>
      <c r="B15" s="20"/>
      <c r="F15" s="7"/>
      <c r="G15" s="11"/>
      <c r="H15" s="13"/>
      <c r="I15" s="21"/>
      <c r="J15" s="13">
        <f>G15*I15</f>
        <v>0</v>
      </c>
      <c r="L15" s="64">
        <f>J15</f>
        <v>0</v>
      </c>
      <c r="M15" s="2"/>
      <c r="O15" s="2"/>
      <c r="Q15" s="2"/>
      <c r="R15" s="2"/>
      <c r="S15" s="7"/>
      <c r="U15" s="21"/>
      <c r="V15" s="21"/>
      <c r="W15" s="21"/>
      <c r="X15" s="21"/>
      <c r="Y15" s="21"/>
      <c r="AA15" s="6"/>
      <c r="AB15" s="2"/>
      <c r="AD15" s="2"/>
      <c r="AF15" s="2"/>
      <c r="AG15" s="2"/>
      <c r="AH15" s="7"/>
    </row>
    <row r="16" spans="1:34">
      <c r="A16" s="17"/>
      <c r="B16" s="20"/>
      <c r="F16" s="7"/>
      <c r="G16" s="11"/>
      <c r="H16" s="13"/>
      <c r="I16" s="21"/>
      <c r="J16" s="13"/>
      <c r="L16" s="6"/>
      <c r="M16" s="2"/>
      <c r="O16" s="2"/>
      <c r="Q16" s="2"/>
      <c r="R16" s="2"/>
      <c r="S16" s="7"/>
      <c r="U16" s="21"/>
      <c r="V16" s="21"/>
      <c r="W16" s="21"/>
      <c r="X16" s="21"/>
      <c r="Y16" s="21"/>
      <c r="AA16" s="64">
        <f>J16</f>
        <v>0</v>
      </c>
      <c r="AB16" s="2"/>
      <c r="AD16" s="2"/>
      <c r="AF16" s="2"/>
      <c r="AG16" s="2"/>
      <c r="AH16" s="7"/>
    </row>
    <row r="17" spans="1:34">
      <c r="A17" s="17"/>
      <c r="B17" s="20"/>
      <c r="F17" s="7"/>
      <c r="G17" s="11"/>
      <c r="H17" s="13"/>
      <c r="I17" s="21"/>
      <c r="J17" s="13"/>
      <c r="L17" s="6"/>
      <c r="M17" s="554"/>
      <c r="O17" s="2"/>
      <c r="Q17" s="2"/>
      <c r="R17" s="2"/>
      <c r="S17" s="7"/>
      <c r="U17" s="21"/>
      <c r="V17" s="21"/>
      <c r="W17" s="21"/>
      <c r="X17" s="21"/>
      <c r="Y17" s="21"/>
      <c r="AA17" s="6"/>
      <c r="AB17" s="2"/>
      <c r="AD17" s="2"/>
      <c r="AF17" s="2"/>
      <c r="AG17" s="2"/>
      <c r="AH17" s="7"/>
    </row>
    <row r="18" spans="1:34">
      <c r="A18" s="17"/>
      <c r="B18" s="20"/>
      <c r="F18" s="7"/>
      <c r="G18" s="11"/>
      <c r="H18" s="13"/>
      <c r="I18" s="21"/>
      <c r="J18" s="13"/>
      <c r="L18" s="6"/>
      <c r="M18" s="2"/>
      <c r="O18" s="2"/>
      <c r="Q18" s="2"/>
      <c r="R18" s="2"/>
      <c r="S18" s="7"/>
      <c r="U18" s="21"/>
      <c r="V18" s="21"/>
      <c r="W18" s="21"/>
      <c r="X18" s="21"/>
      <c r="Y18" s="21"/>
      <c r="AA18" s="6"/>
      <c r="AB18" s="2"/>
      <c r="AD18" s="2"/>
      <c r="AF18" s="2"/>
      <c r="AG18" s="2"/>
      <c r="AH18" s="7"/>
    </row>
    <row r="19" spans="1:34">
      <c r="A19" s="17"/>
      <c r="B19" s="20"/>
      <c r="F19" s="7"/>
      <c r="G19" s="11"/>
      <c r="H19" s="13"/>
      <c r="I19" s="21"/>
      <c r="J19" s="13">
        <f>G19*I19</f>
        <v>0</v>
      </c>
      <c r="L19" s="64">
        <f>J19</f>
        <v>0</v>
      </c>
      <c r="M19" s="2"/>
      <c r="N19" s="86"/>
      <c r="O19" s="2"/>
      <c r="Q19" s="2"/>
      <c r="R19" s="2"/>
      <c r="S19" s="7"/>
      <c r="U19" s="21"/>
      <c r="V19" s="21"/>
      <c r="W19" s="21"/>
      <c r="X19" s="21"/>
      <c r="Y19" s="21"/>
      <c r="AA19" s="64">
        <f>J19</f>
        <v>0</v>
      </c>
      <c r="AB19" s="2"/>
      <c r="AD19" s="2"/>
      <c r="AF19" s="2"/>
      <c r="AG19" s="2"/>
      <c r="AH19" s="7"/>
    </row>
    <row r="20" spans="1:34">
      <c r="A20" s="17"/>
      <c r="B20" s="20"/>
      <c r="F20" s="7"/>
      <c r="G20" s="11"/>
      <c r="H20" s="13"/>
      <c r="I20" s="21"/>
      <c r="J20" s="13"/>
      <c r="L20" s="6"/>
      <c r="M20" s="2"/>
      <c r="O20" s="2"/>
      <c r="Q20" s="2"/>
      <c r="R20" s="2"/>
      <c r="S20" s="7"/>
      <c r="U20" s="21"/>
      <c r="V20" s="21"/>
      <c r="W20" s="21"/>
      <c r="X20" s="21"/>
      <c r="Y20" s="21"/>
      <c r="AA20" s="64"/>
      <c r="AB20" s="2"/>
      <c r="AD20" s="2"/>
      <c r="AF20" s="2"/>
      <c r="AG20" s="2"/>
      <c r="AH20" s="7"/>
    </row>
    <row r="21" spans="1:34">
      <c r="A21" s="17"/>
      <c r="B21" s="20"/>
      <c r="F21" s="7"/>
      <c r="G21" s="11"/>
      <c r="H21" s="13"/>
      <c r="I21" s="21"/>
      <c r="J21" s="13">
        <f>G21*I21</f>
        <v>0</v>
      </c>
      <c r="L21" s="6"/>
      <c r="M21" s="2"/>
      <c r="O21" s="554">
        <f>J21</f>
        <v>0</v>
      </c>
      <c r="Q21" s="2"/>
      <c r="R21" s="2"/>
      <c r="S21" s="7"/>
      <c r="U21" s="21"/>
      <c r="V21" s="21"/>
      <c r="W21" s="21"/>
      <c r="X21" s="21"/>
      <c r="Y21" s="21"/>
      <c r="AA21" s="64">
        <f>J21</f>
        <v>0</v>
      </c>
      <c r="AB21" s="2"/>
      <c r="AD21" s="2"/>
      <c r="AF21" s="2"/>
      <c r="AG21" s="2"/>
      <c r="AH21" s="7"/>
    </row>
    <row r="22" spans="1:34">
      <c r="A22" s="17"/>
      <c r="B22" s="20"/>
      <c r="F22" s="7"/>
      <c r="G22" s="11"/>
      <c r="H22" s="13"/>
      <c r="I22" s="21"/>
      <c r="J22" s="13"/>
      <c r="L22" s="6"/>
      <c r="M22" s="2"/>
      <c r="O22" s="2"/>
      <c r="Q22" s="2"/>
      <c r="R22" s="2"/>
      <c r="S22" s="7"/>
      <c r="U22" s="21"/>
      <c r="V22" s="21"/>
      <c r="W22" s="21"/>
      <c r="X22" s="21"/>
      <c r="Y22" s="21"/>
      <c r="AA22" s="64">
        <f>J22</f>
        <v>0</v>
      </c>
      <c r="AB22" s="2"/>
      <c r="AD22" s="2"/>
      <c r="AF22" s="2"/>
      <c r="AG22" s="2"/>
      <c r="AH22" s="7"/>
    </row>
    <row r="23" spans="1:34">
      <c r="A23" s="17"/>
      <c r="B23" s="20"/>
      <c r="F23" s="7"/>
      <c r="G23" s="11"/>
      <c r="H23" s="13"/>
      <c r="I23" s="21"/>
      <c r="J23" s="13"/>
      <c r="L23" s="6"/>
      <c r="M23" s="2"/>
      <c r="O23" s="2"/>
      <c r="Q23" s="2"/>
      <c r="R23" s="2"/>
      <c r="S23" s="7"/>
      <c r="U23" s="21"/>
      <c r="V23" s="21"/>
      <c r="W23" s="21"/>
      <c r="X23" s="21"/>
      <c r="Y23" s="21"/>
      <c r="AA23" s="64"/>
      <c r="AB23" s="2"/>
      <c r="AD23" s="2"/>
      <c r="AF23" s="2"/>
      <c r="AG23" s="2"/>
      <c r="AH23" s="7"/>
    </row>
    <row r="24" spans="1:34">
      <c r="A24" s="17"/>
      <c r="B24" s="20"/>
      <c r="F24" s="7"/>
      <c r="G24" s="11"/>
      <c r="H24" s="13"/>
      <c r="I24" s="21"/>
      <c r="J24" s="13"/>
      <c r="L24" s="6"/>
      <c r="M24" s="2"/>
      <c r="O24" s="2"/>
      <c r="Q24" s="2"/>
      <c r="R24" s="2"/>
      <c r="S24" s="7"/>
      <c r="U24" s="21"/>
      <c r="V24" s="21"/>
      <c r="W24" s="21"/>
      <c r="X24" s="21"/>
      <c r="Y24" s="21"/>
      <c r="AA24" s="6"/>
      <c r="AB24" s="2"/>
      <c r="AD24" s="2"/>
      <c r="AF24" s="2"/>
      <c r="AG24" s="2"/>
      <c r="AH24" s="7"/>
    </row>
    <row r="25" spans="1:34" ht="15" customHeight="1">
      <c r="A25" s="17"/>
      <c r="B25" s="20"/>
      <c r="F25" s="7"/>
      <c r="G25" s="11"/>
      <c r="H25" s="13"/>
      <c r="I25" s="21"/>
      <c r="J25" s="13"/>
      <c r="L25" s="6"/>
      <c r="M25" s="2"/>
      <c r="O25" s="2"/>
      <c r="Q25" s="2"/>
      <c r="R25" s="2"/>
      <c r="S25" s="7"/>
      <c r="U25" s="21"/>
      <c r="V25" s="21"/>
      <c r="W25" s="21"/>
      <c r="X25" s="21"/>
      <c r="Y25" s="21"/>
      <c r="AA25" s="64">
        <f>J25</f>
        <v>0</v>
      </c>
      <c r="AB25" s="2"/>
      <c r="AD25" s="2"/>
      <c r="AF25" s="2"/>
      <c r="AG25" s="2"/>
      <c r="AH25" s="7"/>
    </row>
    <row r="26" spans="1:34">
      <c r="A26" s="17"/>
      <c r="B26" s="20"/>
      <c r="F26" s="7"/>
      <c r="G26" s="11"/>
      <c r="H26" s="13"/>
      <c r="I26" s="555"/>
      <c r="J26" s="13">
        <f>J19*I26</f>
        <v>0</v>
      </c>
      <c r="L26" s="64">
        <f>J26</f>
        <v>0</v>
      </c>
      <c r="M26" s="2"/>
      <c r="O26" s="2"/>
      <c r="Q26" s="2"/>
      <c r="R26" s="2"/>
      <c r="S26" s="7"/>
      <c r="U26" s="21"/>
      <c r="V26" s="21"/>
      <c r="W26" s="21"/>
      <c r="X26" s="21"/>
      <c r="Y26" s="21"/>
      <c r="AA26" s="6"/>
      <c r="AB26" s="2"/>
      <c r="AD26" s="2"/>
      <c r="AF26" s="2"/>
      <c r="AG26" s="2"/>
      <c r="AH26" s="7"/>
    </row>
    <row r="27" spans="1:34">
      <c r="A27" s="17"/>
      <c r="B27" s="28"/>
      <c r="C27" s="29"/>
      <c r="D27" s="29"/>
      <c r="E27" s="29"/>
      <c r="F27" s="37"/>
      <c r="G27" s="11"/>
      <c r="H27" s="13"/>
      <c r="I27" s="21"/>
      <c r="J27" s="13"/>
      <c r="L27" s="6"/>
      <c r="M27" s="2"/>
      <c r="O27" s="2"/>
      <c r="Q27" s="2"/>
      <c r="R27" s="2"/>
      <c r="S27" s="7"/>
      <c r="U27" s="21"/>
      <c r="V27" s="21"/>
      <c r="W27" s="21"/>
      <c r="X27" s="21"/>
      <c r="Y27" s="21"/>
      <c r="AA27" s="6"/>
      <c r="AB27" s="2"/>
      <c r="AD27" s="2"/>
      <c r="AF27" s="2"/>
      <c r="AG27" s="2"/>
      <c r="AH27" s="7"/>
    </row>
    <row r="28" spans="1:34">
      <c r="A28" s="17"/>
      <c r="B28" s="28"/>
      <c r="C28" s="29"/>
      <c r="D28" s="29"/>
      <c r="E28" s="29"/>
      <c r="F28" s="37"/>
      <c r="G28" s="11"/>
      <c r="H28" s="13"/>
      <c r="I28" s="34"/>
      <c r="J28" s="13"/>
      <c r="L28" s="6"/>
      <c r="M28" s="2"/>
      <c r="O28" s="2"/>
      <c r="Q28" s="2"/>
      <c r="R28" s="2"/>
      <c r="S28" s="7"/>
      <c r="U28" s="21"/>
      <c r="V28" s="21"/>
      <c r="W28" s="21"/>
      <c r="X28" s="21"/>
      <c r="Y28" s="21"/>
      <c r="AA28" s="6"/>
      <c r="AB28" s="2"/>
      <c r="AD28" s="2"/>
      <c r="AF28" s="2"/>
      <c r="AG28" s="2"/>
      <c r="AH28" s="7"/>
    </row>
    <row r="29" spans="1:34">
      <c r="A29" s="17"/>
      <c r="B29" s="6"/>
      <c r="F29" s="36"/>
      <c r="G29" s="11"/>
      <c r="H29" s="13"/>
      <c r="I29" s="21"/>
      <c r="J29" s="13"/>
      <c r="L29" s="6"/>
      <c r="M29" s="2"/>
      <c r="O29" s="2"/>
      <c r="Q29" s="2"/>
      <c r="R29" s="2"/>
      <c r="S29" s="7"/>
      <c r="U29" s="21"/>
      <c r="V29" s="21"/>
      <c r="W29" s="21"/>
      <c r="X29" s="21"/>
      <c r="Y29" s="21"/>
      <c r="AA29" s="6"/>
      <c r="AB29" s="2"/>
      <c r="AD29" s="2"/>
      <c r="AF29" s="2"/>
      <c r="AG29" s="2"/>
      <c r="AH29" s="7"/>
    </row>
    <row r="30" spans="1:34">
      <c r="A30" s="17"/>
      <c r="B30" s="6"/>
      <c r="F30" s="36"/>
      <c r="G30" s="11"/>
      <c r="H30" s="13"/>
      <c r="I30" s="21"/>
      <c r="J30" s="13"/>
      <c r="L30" s="6"/>
      <c r="M30" s="2"/>
      <c r="O30" s="2"/>
      <c r="Q30" s="2"/>
      <c r="R30" s="2"/>
      <c r="S30" s="7"/>
      <c r="U30" s="21"/>
      <c r="V30" s="21"/>
      <c r="W30" s="21"/>
      <c r="X30" s="21"/>
      <c r="Y30" s="21"/>
      <c r="AA30" s="6"/>
      <c r="AB30" s="2"/>
      <c r="AD30" s="2"/>
      <c r="AF30" s="2"/>
      <c r="AG30" s="2"/>
      <c r="AH30" s="7"/>
    </row>
    <row r="31" spans="1:34">
      <c r="A31" s="17"/>
      <c r="B31" s="6"/>
      <c r="F31" s="7"/>
      <c r="G31" s="11"/>
      <c r="H31" s="13"/>
      <c r="I31" s="21"/>
      <c r="J31" s="13"/>
      <c r="L31" s="6"/>
      <c r="M31" s="2"/>
      <c r="O31" s="2"/>
      <c r="Q31" s="2"/>
      <c r="R31" s="2"/>
      <c r="S31" s="7"/>
      <c r="U31" s="21"/>
      <c r="V31" s="21"/>
      <c r="W31" s="21"/>
      <c r="X31" s="21"/>
      <c r="Y31" s="21"/>
      <c r="AA31" s="6"/>
      <c r="AB31" s="2"/>
      <c r="AD31" s="2"/>
      <c r="AF31" s="2"/>
      <c r="AG31" s="2"/>
      <c r="AH31" s="7"/>
    </row>
    <row r="32" spans="1:34" ht="16" thickBot="1">
      <c r="A32" s="17"/>
      <c r="B32" s="6"/>
      <c r="F32" s="7"/>
      <c r="G32" s="11"/>
      <c r="H32" s="13"/>
      <c r="I32" s="21"/>
      <c r="J32" s="47">
        <f>SUM(J9:J31)</f>
        <v>0</v>
      </c>
      <c r="L32" s="47">
        <f t="shared" ref="L32:S32" si="0">SUM(L9:L31)</f>
        <v>0</v>
      </c>
      <c r="M32" s="47">
        <f t="shared" si="0"/>
        <v>0</v>
      </c>
      <c r="N32" s="47">
        <f t="shared" si="0"/>
        <v>0</v>
      </c>
      <c r="O32" s="47">
        <f t="shared" si="0"/>
        <v>0</v>
      </c>
      <c r="P32" s="47">
        <f t="shared" si="0"/>
        <v>0</v>
      </c>
      <c r="Q32" s="47">
        <f t="shared" si="0"/>
        <v>0</v>
      </c>
      <c r="R32" s="47">
        <f t="shared" si="0"/>
        <v>0</v>
      </c>
      <c r="S32" s="47">
        <f t="shared" si="0"/>
        <v>0</v>
      </c>
      <c r="U32" s="65"/>
      <c r="V32" s="65"/>
      <c r="W32" s="65"/>
      <c r="X32" s="65"/>
      <c r="Y32" s="65"/>
      <c r="AA32" s="47">
        <f>SUM(AA9:AA31)</f>
        <v>0</v>
      </c>
      <c r="AB32" s="47">
        <f t="shared" ref="AB32:AH32" si="1">SUM(AB9:AB31)</f>
        <v>0</v>
      </c>
      <c r="AC32" s="47">
        <f t="shared" si="1"/>
        <v>0</v>
      </c>
      <c r="AD32" s="47">
        <f t="shared" si="1"/>
        <v>0</v>
      </c>
      <c r="AE32" s="47">
        <f t="shared" si="1"/>
        <v>0</v>
      </c>
      <c r="AF32" s="47">
        <f t="shared" si="1"/>
        <v>0</v>
      </c>
      <c r="AG32" s="47">
        <f t="shared" si="1"/>
        <v>0</v>
      </c>
      <c r="AH32" s="47">
        <f t="shared" si="1"/>
        <v>0</v>
      </c>
    </row>
    <row r="33" spans="1:34">
      <c r="A33" s="18"/>
      <c r="B33" s="8"/>
      <c r="C33" s="9"/>
      <c r="D33" s="9"/>
      <c r="E33" s="9"/>
      <c r="F33" s="10"/>
      <c r="G33" s="14"/>
      <c r="H33" s="15"/>
      <c r="I33" s="23"/>
      <c r="J33" s="15"/>
      <c r="L33" s="8"/>
      <c r="M33" s="63"/>
      <c r="N33" s="9"/>
      <c r="O33" s="63"/>
      <c r="P33" s="9"/>
      <c r="Q33" s="63"/>
      <c r="R33" s="63"/>
      <c r="S33" s="10"/>
      <c r="U33" s="21"/>
      <c r="V33" s="21"/>
      <c r="W33" s="21"/>
      <c r="X33" s="21"/>
      <c r="Y33" s="21"/>
      <c r="AA33" s="8"/>
      <c r="AB33" s="63"/>
      <c r="AC33" s="9"/>
      <c r="AD33" s="63"/>
      <c r="AE33" s="9"/>
      <c r="AF33" s="63"/>
      <c r="AG33" s="63"/>
      <c r="AH33" s="10"/>
    </row>
  </sheetData>
  <mergeCells count="19">
    <mergeCell ref="H2:I2"/>
    <mergeCell ref="A5:A8"/>
    <mergeCell ref="B5:F8"/>
    <mergeCell ref="G5:G8"/>
    <mergeCell ref="H5:H8"/>
    <mergeCell ref="I5:I8"/>
    <mergeCell ref="J5:J8"/>
    <mergeCell ref="AA5:AH5"/>
    <mergeCell ref="AA6:AE6"/>
    <mergeCell ref="AF6:AF7"/>
    <mergeCell ref="AG6:AG7"/>
    <mergeCell ref="AH6:AH7"/>
    <mergeCell ref="L5:S5"/>
    <mergeCell ref="Q6:Q7"/>
    <mergeCell ref="R6:R7"/>
    <mergeCell ref="S6:S7"/>
    <mergeCell ref="L6:M6"/>
    <mergeCell ref="N6:O6"/>
    <mergeCell ref="P6:P7"/>
  </mergeCells>
  <phoneticPr fontId="39" type="noConversion"/>
  <printOptions horizontalCentered="1"/>
  <pageMargins left="0.261811024" right="0.511811024" top="0.55118110200000003" bottom="0.55118110200000003" header="0.31496062992126" footer="0.31496062992126"/>
  <pageSetup paperSize="9" scale="31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39997558519241921"/>
    <pageSetUpPr fitToPage="1"/>
  </sheetPr>
  <dimension ref="A1:AH67"/>
  <sheetViews>
    <sheetView workbookViewId="0">
      <selection activeCell="L1" sqref="L1:S1048576"/>
    </sheetView>
  </sheetViews>
  <sheetFormatPr baseColWidth="10" defaultColWidth="8.83203125" defaultRowHeight="15"/>
  <cols>
    <col min="1" max="1" width="4" customWidth="1"/>
    <col min="7" max="7" width="13" customWidth="1"/>
    <col min="8" max="8" width="6.5" customWidth="1"/>
    <col min="9" max="9" width="14.1640625" customWidth="1"/>
    <col min="10" max="10" width="14.6640625" customWidth="1"/>
    <col min="11" max="11" width="1.83203125" customWidth="1"/>
    <col min="12" max="12" width="14" hidden="1" customWidth="1"/>
    <col min="13" max="15" width="11.6640625" hidden="1" customWidth="1"/>
    <col min="16" max="16" width="13.1640625" hidden="1" customWidth="1"/>
    <col min="17" max="17" width="14.6640625" hidden="1" customWidth="1"/>
    <col min="18" max="19" width="11.6640625" hidden="1" customWidth="1"/>
    <col min="21" max="21" width="18.33203125" customWidth="1"/>
    <col min="22" max="25" width="11.5" customWidth="1"/>
    <col min="26" max="26" width="1.83203125" customWidth="1"/>
    <col min="27" max="34" width="12.6640625" hidden="1" customWidth="1"/>
  </cols>
  <sheetData>
    <row r="1" spans="1:34" s="1" customFormat="1"/>
    <row r="2" spans="1:34" s="1" customFormat="1" ht="16.5" customHeight="1">
      <c r="B2" s="1" t="str">
        <f>'Breakdown Summary'!B2</f>
        <v>Trows Farm, Castleton</v>
      </c>
      <c r="G2" s="1" t="str">
        <f>'Breakdown Summary'!G2</f>
        <v>Date</v>
      </c>
      <c r="H2" s="1045">
        <f>'Breakdown Summary'!H2</f>
        <v>45453</v>
      </c>
      <c r="I2" s="1045"/>
      <c r="J2" s="1" t="str">
        <f>'Breakdown Summary'!J2</f>
        <v>Ver - 6</v>
      </c>
      <c r="S2" s="49"/>
      <c r="AH2" s="49"/>
    </row>
    <row r="3" spans="1:34" s="1" customFormat="1">
      <c r="B3" s="1" t="str">
        <f>'Breakdown Summary'!B3</f>
        <v>Cowm Top Lane, Rochdale</v>
      </c>
      <c r="G3" s="1" t="str">
        <f>'Breakdown Summary'!H3</f>
        <v>Breakdown of Abnormal Costs</v>
      </c>
    </row>
    <row r="4" spans="1:34" s="1" customFormat="1" ht="15" customHeight="1"/>
    <row r="5" spans="1:34" s="1" customFormat="1" ht="15" customHeight="1">
      <c r="A5" s="1046" t="s">
        <v>0</v>
      </c>
      <c r="B5" s="1054" t="s">
        <v>1</v>
      </c>
      <c r="C5" s="1055"/>
      <c r="D5" s="1055"/>
      <c r="E5" s="1055"/>
      <c r="F5" s="1056"/>
      <c r="G5" s="1046" t="s">
        <v>6</v>
      </c>
      <c r="H5" s="1046" t="s">
        <v>5</v>
      </c>
      <c r="I5" s="1046" t="s">
        <v>2</v>
      </c>
      <c r="J5" s="1046" t="s">
        <v>3</v>
      </c>
      <c r="L5" s="1124" t="str">
        <f>'Breakdown Summary'!L5:S5</f>
        <v>Phasing Breakdown</v>
      </c>
      <c r="M5" s="1125"/>
      <c r="N5" s="1125"/>
      <c r="O5" s="1125"/>
      <c r="P5" s="1125"/>
      <c r="Q5" s="1125"/>
      <c r="R5" s="1125"/>
      <c r="S5" s="1126"/>
      <c r="U5" s="195"/>
      <c r="V5" s="195"/>
      <c r="W5" s="195"/>
      <c r="X5" s="195"/>
      <c r="Y5" s="195"/>
      <c r="AA5" s="1124" t="s">
        <v>17</v>
      </c>
      <c r="AB5" s="1125"/>
      <c r="AC5" s="1125"/>
      <c r="AD5" s="1125"/>
      <c r="AE5" s="1125"/>
      <c r="AF5" s="1125"/>
      <c r="AG5" s="1125"/>
      <c r="AH5" s="1126"/>
    </row>
    <row r="6" spans="1:34" s="1" customFormat="1" ht="15" customHeight="1">
      <c r="A6" s="1047"/>
      <c r="B6" s="1057"/>
      <c r="C6" s="1058"/>
      <c r="D6" s="1058"/>
      <c r="E6" s="1058"/>
      <c r="F6" s="1059"/>
      <c r="G6" s="1047"/>
      <c r="H6" s="1047"/>
      <c r="I6" s="1047"/>
      <c r="J6" s="1047"/>
      <c r="L6" s="1127" t="str">
        <f>'Breakdown Summary'!L6</f>
        <v>Site 1</v>
      </c>
      <c r="M6" s="1128"/>
      <c r="N6" s="1127">
        <f>'Breakdown Summary'!N6</f>
        <v>0</v>
      </c>
      <c r="O6" s="1128"/>
      <c r="P6" s="1063">
        <f>'Breakdown Summary'!P6:P7</f>
        <v>0</v>
      </c>
      <c r="Q6" s="1063">
        <f>'Breakdown Summary'!Q6:Q7</f>
        <v>0</v>
      </c>
      <c r="R6" s="1063">
        <f>'Breakdown Summary'!R6:R7</f>
        <v>0</v>
      </c>
      <c r="S6" s="1063">
        <f>'Breakdown Summary'!S6:S7</f>
        <v>0</v>
      </c>
      <c r="U6" s="195"/>
      <c r="V6" s="195"/>
      <c r="W6" s="195"/>
      <c r="X6" s="195"/>
      <c r="Y6" s="195"/>
      <c r="AA6" s="1127" t="s">
        <v>15</v>
      </c>
      <c r="AB6" s="1140"/>
      <c r="AC6" s="1140"/>
      <c r="AD6" s="1140"/>
      <c r="AE6" s="1128"/>
      <c r="AF6" s="1063" t="s">
        <v>12</v>
      </c>
      <c r="AG6" s="1063" t="s">
        <v>13</v>
      </c>
      <c r="AH6" s="1063" t="s">
        <v>14</v>
      </c>
    </row>
    <row r="7" spans="1:34">
      <c r="A7" s="1047"/>
      <c r="B7" s="1057"/>
      <c r="C7" s="1058"/>
      <c r="D7" s="1058"/>
      <c r="E7" s="1058"/>
      <c r="F7" s="1059"/>
      <c r="G7" s="1047"/>
      <c r="H7" s="1047"/>
      <c r="I7" s="1047"/>
      <c r="J7" s="1047"/>
      <c r="L7" s="59" t="str">
        <f>'Breakdown Summary'!L7</f>
        <v>Barratt</v>
      </c>
      <c r="M7" s="59" t="str">
        <f>'Breakdown Summary'!M7</f>
        <v>David Wilson</v>
      </c>
      <c r="N7" s="59" t="str">
        <f>'Breakdown Summary'!N7</f>
        <v>Phs</v>
      </c>
      <c r="O7" s="59" t="str">
        <f>'Breakdown Summary'!O7</f>
        <v>Phs</v>
      </c>
      <c r="P7" s="1065"/>
      <c r="Q7" s="1065"/>
      <c r="R7" s="1065"/>
      <c r="S7" s="1065"/>
      <c r="U7" s="195"/>
      <c r="V7" s="195"/>
      <c r="W7" s="195"/>
      <c r="X7" s="195"/>
      <c r="Y7" s="195"/>
      <c r="AA7" s="59">
        <v>1</v>
      </c>
      <c r="AB7" s="59">
        <v>2</v>
      </c>
      <c r="AC7" s="59">
        <v>3</v>
      </c>
      <c r="AD7" s="59">
        <v>4</v>
      </c>
      <c r="AE7" s="59">
        <v>5</v>
      </c>
      <c r="AF7" s="1065"/>
      <c r="AG7" s="1065"/>
      <c r="AH7" s="1065"/>
    </row>
    <row r="8" spans="1:34" s="1" customFormat="1">
      <c r="A8" s="1048"/>
      <c r="B8" s="1060"/>
      <c r="C8" s="1061"/>
      <c r="D8" s="1061"/>
      <c r="E8" s="1061"/>
      <c r="F8" s="1062"/>
      <c r="G8" s="1048"/>
      <c r="H8" s="1048"/>
      <c r="I8" s="1048"/>
      <c r="J8" s="1048"/>
      <c r="L8" s="242">
        <f>'Breakdown Summary'!L13</f>
        <v>19.11</v>
      </c>
      <c r="M8" s="242">
        <f>'Breakdown Summary'!M13</f>
        <v>10.009886307464162</v>
      </c>
      <c r="N8" s="242">
        <f>'Breakdown Summary'!N13</f>
        <v>0</v>
      </c>
      <c r="O8" s="242">
        <f>'Breakdown Summary'!O13</f>
        <v>0</v>
      </c>
      <c r="P8" s="62">
        <f>'Breakdown Summary'!P13</f>
        <v>0</v>
      </c>
      <c r="Q8" s="60"/>
      <c r="R8" s="61"/>
      <c r="S8" s="61"/>
      <c r="U8" s="195"/>
      <c r="V8" s="195"/>
      <c r="W8" s="195"/>
      <c r="X8" s="195"/>
      <c r="Y8" s="195"/>
      <c r="AA8" s="62">
        <v>1</v>
      </c>
      <c r="AB8" s="62">
        <v>0</v>
      </c>
      <c r="AC8" s="62">
        <v>0</v>
      </c>
      <c r="AD8" s="62">
        <v>0</v>
      </c>
      <c r="AE8" s="62">
        <v>0</v>
      </c>
      <c r="AF8" s="60">
        <v>0</v>
      </c>
      <c r="AG8" s="61">
        <v>0</v>
      </c>
      <c r="AH8" s="61">
        <v>0</v>
      </c>
    </row>
    <row r="9" spans="1:34">
      <c r="A9" s="16"/>
      <c r="B9" s="3"/>
      <c r="C9" s="4"/>
      <c r="D9" s="4"/>
      <c r="E9" s="4"/>
      <c r="F9" s="5"/>
      <c r="G9" s="11"/>
      <c r="H9" s="12"/>
      <c r="I9" s="21"/>
      <c r="J9" s="12"/>
      <c r="L9" s="3"/>
      <c r="M9" s="58"/>
      <c r="N9" s="4"/>
      <c r="O9" s="58"/>
      <c r="P9" s="4"/>
      <c r="Q9" s="58"/>
      <c r="R9" s="58"/>
      <c r="S9" s="5"/>
      <c r="U9" s="21"/>
      <c r="V9" s="21"/>
      <c r="W9" s="21"/>
      <c r="X9" s="21"/>
      <c r="Y9" s="21"/>
      <c r="AA9" s="3"/>
      <c r="AB9" s="58"/>
      <c r="AC9" s="4"/>
      <c r="AD9" s="58"/>
      <c r="AE9" s="4"/>
      <c r="AF9" s="58"/>
      <c r="AG9" s="58"/>
      <c r="AH9" s="5"/>
    </row>
    <row r="10" spans="1:34" ht="19">
      <c r="A10" s="19">
        <v>4</v>
      </c>
      <c r="B10" s="558" t="s">
        <v>21</v>
      </c>
      <c r="F10" s="7"/>
      <c r="G10" s="11"/>
      <c r="H10" s="13"/>
      <c r="I10" s="21"/>
      <c r="J10" s="13"/>
      <c r="L10" s="6"/>
      <c r="M10" s="2"/>
      <c r="O10" s="2"/>
      <c r="Q10" s="2"/>
      <c r="R10" s="2"/>
      <c r="S10" s="7"/>
      <c r="U10" s="21"/>
      <c r="V10" s="21"/>
      <c r="W10" s="21"/>
      <c r="X10" s="21"/>
      <c r="Y10" s="21"/>
      <c r="AA10" s="6"/>
      <c r="AB10" s="2"/>
      <c r="AD10" s="2"/>
      <c r="AF10" s="2"/>
      <c r="AG10" s="2"/>
      <c r="AH10" s="7"/>
    </row>
    <row r="11" spans="1:34">
      <c r="A11" s="19"/>
      <c r="B11" s="20"/>
      <c r="F11" s="7"/>
      <c r="G11" s="11"/>
      <c r="H11" s="13"/>
      <c r="I11" s="21"/>
      <c r="J11" s="13"/>
      <c r="L11" s="6"/>
      <c r="M11" s="2"/>
      <c r="O11" s="2"/>
      <c r="Q11" s="2"/>
      <c r="R11" s="2"/>
      <c r="S11" s="7"/>
      <c r="U11" s="21"/>
      <c r="V11" s="21"/>
      <c r="W11" s="21"/>
      <c r="X11" s="21"/>
      <c r="Y11" s="21"/>
      <c r="AA11" s="6"/>
      <c r="AB11" s="2"/>
      <c r="AD11" s="2"/>
      <c r="AF11" s="2"/>
      <c r="AG11" s="2"/>
      <c r="AH11" s="7"/>
    </row>
    <row r="12" spans="1:34" ht="19">
      <c r="A12" s="17"/>
      <c r="B12" s="20"/>
      <c r="C12" s="556" t="s">
        <v>709</v>
      </c>
      <c r="F12" s="7"/>
      <c r="G12" s="11"/>
      <c r="H12" s="13"/>
      <c r="I12" s="21"/>
      <c r="J12" s="13"/>
      <c r="L12" s="6"/>
      <c r="M12" s="2"/>
      <c r="N12" s="86"/>
      <c r="O12" s="2"/>
      <c r="Q12" s="2"/>
      <c r="R12" s="2"/>
      <c r="S12" s="7"/>
      <c r="U12" s="21"/>
      <c r="V12" s="21"/>
      <c r="W12" s="21"/>
      <c r="X12" s="21"/>
      <c r="Y12" s="21"/>
      <c r="AA12" s="6"/>
      <c r="AB12" s="2"/>
      <c r="AD12" s="2"/>
      <c r="AF12" s="2"/>
      <c r="AG12" s="2"/>
      <c r="AH12" s="7"/>
    </row>
    <row r="13" spans="1:34">
      <c r="A13" s="17"/>
      <c r="B13" s="20"/>
      <c r="F13" s="7"/>
      <c r="G13" s="11"/>
      <c r="H13" s="13"/>
      <c r="I13" s="21"/>
      <c r="J13" s="13"/>
      <c r="L13" s="64"/>
      <c r="M13" s="2"/>
      <c r="N13" s="86"/>
      <c r="O13" s="2"/>
      <c r="Q13" s="2"/>
      <c r="R13" s="2"/>
      <c r="S13" s="7"/>
      <c r="U13" s="21"/>
      <c r="V13" s="21"/>
      <c r="W13" s="21"/>
      <c r="X13" s="21"/>
      <c r="Y13" s="21"/>
      <c r="AA13" s="6"/>
      <c r="AB13" s="2"/>
      <c r="AD13" s="2"/>
      <c r="AF13" s="2"/>
      <c r="AG13" s="2"/>
      <c r="AH13" s="7"/>
    </row>
    <row r="14" spans="1:34">
      <c r="A14" s="17"/>
      <c r="B14" s="20"/>
      <c r="C14" t="s">
        <v>711</v>
      </c>
      <c r="F14" s="7"/>
      <c r="G14" s="11">
        <v>1</v>
      </c>
      <c r="H14" s="13" t="s">
        <v>490</v>
      </c>
      <c r="I14" s="21">
        <v>50000</v>
      </c>
      <c r="J14" s="13">
        <f>G14*I14</f>
        <v>50000</v>
      </c>
      <c r="L14" s="64">
        <f>J14/(L$8+M$8)*L$8</f>
        <v>32812.628109577512</v>
      </c>
      <c r="M14" s="649">
        <f>J14-L14</f>
        <v>17187.371890422488</v>
      </c>
      <c r="N14" s="86"/>
      <c r="O14" s="2"/>
      <c r="Q14" s="2"/>
      <c r="R14" s="2"/>
      <c r="S14" s="7"/>
      <c r="U14" s="21"/>
      <c r="V14" s="21"/>
      <c r="W14" s="21"/>
      <c r="X14" s="21"/>
      <c r="Y14" s="21"/>
      <c r="AA14" s="6"/>
      <c r="AB14" s="2"/>
      <c r="AD14" s="2"/>
      <c r="AF14" s="2"/>
      <c r="AG14" s="2"/>
      <c r="AH14" s="7"/>
    </row>
    <row r="15" spans="1:34">
      <c r="A15" s="17"/>
      <c r="B15" s="20"/>
      <c r="F15" s="7"/>
      <c r="G15" s="11"/>
      <c r="H15" s="13"/>
      <c r="I15" s="21"/>
      <c r="J15" s="13"/>
      <c r="L15" s="64">
        <f t="shared" ref="L15:L62" si="0">J15/(L$8+M$8)*L$8</f>
        <v>0</v>
      </c>
      <c r="M15" s="649">
        <f t="shared" ref="M15:M62" si="1">J15-L15</f>
        <v>0</v>
      </c>
      <c r="N15" s="86"/>
      <c r="O15" s="2"/>
      <c r="Q15" s="2"/>
      <c r="R15" s="2"/>
      <c r="S15" s="7"/>
      <c r="U15" s="21"/>
      <c r="V15" s="21"/>
      <c r="W15" s="21"/>
      <c r="X15" s="21"/>
      <c r="Y15" s="21"/>
      <c r="AA15" s="6"/>
      <c r="AB15" s="2"/>
      <c r="AD15" s="2"/>
      <c r="AF15" s="2"/>
      <c r="AG15" s="2"/>
      <c r="AH15" s="7"/>
    </row>
    <row r="16" spans="1:34">
      <c r="A16" s="17"/>
      <c r="B16" s="20"/>
      <c r="C16" t="s">
        <v>710</v>
      </c>
      <c r="F16" s="7"/>
      <c r="G16" s="11">
        <v>1</v>
      </c>
      <c r="H16" s="13" t="s">
        <v>473</v>
      </c>
      <c r="I16" s="21">
        <v>1250000</v>
      </c>
      <c r="J16" s="13">
        <f>G16*I16</f>
        <v>1250000</v>
      </c>
      <c r="L16" s="64">
        <f t="shared" si="0"/>
        <v>820315.70273943793</v>
      </c>
      <c r="M16" s="649">
        <f t="shared" si="1"/>
        <v>429684.29726056207</v>
      </c>
      <c r="N16" s="86"/>
      <c r="O16" s="2"/>
      <c r="Q16" s="2"/>
      <c r="R16" s="2"/>
      <c r="S16" s="7"/>
      <c r="U16" s="21"/>
      <c r="V16" s="21"/>
      <c r="W16" s="21"/>
      <c r="X16" s="21"/>
      <c r="Y16" s="21"/>
      <c r="AA16" s="6"/>
      <c r="AB16" s="2"/>
      <c r="AD16" s="2"/>
      <c r="AF16" s="2"/>
      <c r="AG16" s="2"/>
      <c r="AH16" s="7"/>
    </row>
    <row r="17" spans="1:34">
      <c r="A17" s="17"/>
      <c r="B17" s="20"/>
      <c r="F17" s="7"/>
      <c r="G17" s="11"/>
      <c r="H17" s="13"/>
      <c r="I17" s="21"/>
      <c r="J17" s="13"/>
      <c r="L17" s="64">
        <f t="shared" si="0"/>
        <v>0</v>
      </c>
      <c r="M17" s="649">
        <f t="shared" si="1"/>
        <v>0</v>
      </c>
      <c r="N17" s="86"/>
      <c r="O17" s="2"/>
      <c r="Q17" s="2"/>
      <c r="R17" s="2"/>
      <c r="S17" s="7"/>
      <c r="U17" s="21"/>
      <c r="V17" s="21"/>
      <c r="W17" s="21"/>
      <c r="X17" s="21"/>
      <c r="Y17" s="21"/>
      <c r="AA17" s="6"/>
      <c r="AB17" s="2"/>
      <c r="AD17" s="2"/>
      <c r="AF17" s="2"/>
      <c r="AG17" s="2"/>
      <c r="AH17" s="7"/>
    </row>
    <row r="18" spans="1:34">
      <c r="A18" s="17"/>
      <c r="B18" s="20"/>
      <c r="F18" s="7"/>
      <c r="G18" s="11"/>
      <c r="H18" s="13"/>
      <c r="I18" s="21"/>
      <c r="J18" s="13"/>
      <c r="L18" s="64">
        <f t="shared" si="0"/>
        <v>0</v>
      </c>
      <c r="M18" s="649">
        <f t="shared" si="1"/>
        <v>0</v>
      </c>
      <c r="N18" s="86"/>
      <c r="O18" s="2"/>
      <c r="Q18" s="2"/>
      <c r="R18" s="2"/>
      <c r="S18" s="7"/>
      <c r="U18" s="21"/>
      <c r="V18" s="21"/>
      <c r="W18" s="21"/>
      <c r="X18" s="21"/>
      <c r="Y18" s="21"/>
      <c r="AA18" s="6"/>
      <c r="AB18" s="2"/>
      <c r="AD18" s="2"/>
      <c r="AF18" s="2"/>
      <c r="AG18" s="2"/>
      <c r="AH18" s="7"/>
    </row>
    <row r="19" spans="1:34">
      <c r="A19" s="17"/>
      <c r="B19" s="20"/>
      <c r="F19" s="7"/>
      <c r="G19" s="11"/>
      <c r="H19" s="13"/>
      <c r="I19" s="21"/>
      <c r="J19" s="13"/>
      <c r="L19" s="64">
        <f t="shared" si="0"/>
        <v>0</v>
      </c>
      <c r="M19" s="649">
        <f t="shared" si="1"/>
        <v>0</v>
      </c>
      <c r="N19" s="86"/>
      <c r="O19" s="2"/>
      <c r="Q19" s="2"/>
      <c r="R19" s="2"/>
      <c r="S19" s="7"/>
      <c r="U19" s="21"/>
      <c r="V19" s="21"/>
      <c r="W19" s="21"/>
      <c r="X19" s="21"/>
      <c r="Y19" s="21"/>
      <c r="AA19" s="6"/>
      <c r="AB19" s="2"/>
      <c r="AD19" s="2"/>
      <c r="AF19" s="2"/>
      <c r="AG19" s="2"/>
      <c r="AH19" s="7"/>
    </row>
    <row r="20" spans="1:34">
      <c r="A20" s="17"/>
      <c r="B20" s="20"/>
      <c r="F20" s="7"/>
      <c r="G20" s="11"/>
      <c r="H20" s="13"/>
      <c r="I20" s="21"/>
      <c r="J20" s="13"/>
      <c r="L20" s="64">
        <f t="shared" si="0"/>
        <v>0</v>
      </c>
      <c r="M20" s="649">
        <f t="shared" si="1"/>
        <v>0</v>
      </c>
      <c r="N20" s="86"/>
      <c r="O20" s="2"/>
      <c r="Q20" s="2"/>
      <c r="R20" s="2"/>
      <c r="S20" s="7"/>
      <c r="U20" s="21"/>
      <c r="V20" s="21"/>
      <c r="W20" s="21"/>
      <c r="X20" s="21"/>
      <c r="Y20" s="21"/>
      <c r="AA20" s="6"/>
      <c r="AB20" s="2"/>
      <c r="AD20" s="2"/>
      <c r="AF20" s="2"/>
      <c r="AG20" s="2"/>
      <c r="AH20" s="7"/>
    </row>
    <row r="21" spans="1:34" ht="15" customHeight="1">
      <c r="A21" s="19"/>
      <c r="B21" s="558" t="s">
        <v>229</v>
      </c>
      <c r="F21" s="7"/>
      <c r="G21" s="11"/>
      <c r="H21" s="13"/>
      <c r="I21" s="21"/>
      <c r="J21" s="13"/>
      <c r="L21" s="64">
        <f t="shared" si="0"/>
        <v>0</v>
      </c>
      <c r="M21" s="649">
        <f t="shared" si="1"/>
        <v>0</v>
      </c>
      <c r="O21" s="2"/>
      <c r="Q21" s="2"/>
      <c r="R21" s="2"/>
      <c r="S21" s="7"/>
      <c r="U21" s="21"/>
      <c r="V21" s="21"/>
      <c r="W21" s="21"/>
      <c r="X21" s="21"/>
      <c r="Y21" s="21"/>
      <c r="AA21" s="6"/>
      <c r="AB21" s="2"/>
      <c r="AD21" s="2"/>
      <c r="AF21" s="2"/>
      <c r="AG21" s="2"/>
      <c r="AH21" s="7"/>
    </row>
    <row r="22" spans="1:34">
      <c r="A22" s="19"/>
      <c r="B22" s="20"/>
      <c r="F22" s="7"/>
      <c r="G22" s="11"/>
      <c r="H22" s="13"/>
      <c r="I22" s="21"/>
      <c r="J22" s="13"/>
      <c r="L22" s="64">
        <f t="shared" si="0"/>
        <v>0</v>
      </c>
      <c r="M22" s="649">
        <f t="shared" si="1"/>
        <v>0</v>
      </c>
      <c r="O22" s="2"/>
      <c r="Q22" s="2"/>
      <c r="R22" s="2"/>
      <c r="S22" s="7"/>
      <c r="U22" s="21"/>
      <c r="V22" s="21"/>
      <c r="W22" s="21"/>
      <c r="X22" s="21"/>
      <c r="Y22" s="21"/>
      <c r="AA22" s="6"/>
      <c r="AB22" s="2"/>
      <c r="AD22" s="2"/>
      <c r="AF22" s="2"/>
      <c r="AG22" s="2"/>
      <c r="AH22" s="7"/>
    </row>
    <row r="23" spans="1:34" ht="19">
      <c r="A23" s="19"/>
      <c r="B23" s="20"/>
      <c r="C23" s="556" t="s">
        <v>698</v>
      </c>
      <c r="F23" s="7"/>
      <c r="G23" s="11"/>
      <c r="H23" s="13"/>
      <c r="I23" s="21"/>
      <c r="J23" s="13"/>
      <c r="L23" s="64">
        <f t="shared" si="0"/>
        <v>0</v>
      </c>
      <c r="M23" s="649">
        <f t="shared" si="1"/>
        <v>0</v>
      </c>
      <c r="O23" s="2"/>
      <c r="Q23" s="2"/>
      <c r="R23" s="2"/>
      <c r="S23" s="7"/>
      <c r="U23" s="21"/>
      <c r="V23" s="21"/>
      <c r="W23" s="21"/>
      <c r="X23" s="21"/>
      <c r="Y23" s="21"/>
      <c r="AA23" s="6"/>
      <c r="AB23" s="2"/>
      <c r="AD23" s="2"/>
      <c r="AF23" s="2"/>
      <c r="AG23" s="2"/>
      <c r="AH23" s="7"/>
    </row>
    <row r="24" spans="1:34">
      <c r="A24" s="17"/>
      <c r="B24" s="20"/>
      <c r="F24" s="7"/>
      <c r="G24" s="11"/>
      <c r="H24" s="13"/>
      <c r="I24" s="21"/>
      <c r="J24" s="13"/>
      <c r="L24" s="64">
        <f t="shared" si="0"/>
        <v>0</v>
      </c>
      <c r="M24" s="649">
        <f t="shared" si="1"/>
        <v>0</v>
      </c>
      <c r="O24" s="2"/>
      <c r="Q24" s="2"/>
      <c r="R24" s="2"/>
      <c r="S24" s="7"/>
      <c r="U24" s="21"/>
      <c r="V24" s="21"/>
      <c r="W24" s="21"/>
      <c r="X24" s="21"/>
      <c r="Y24" s="21"/>
      <c r="AA24" s="6"/>
      <c r="AB24" s="2"/>
      <c r="AD24" s="2"/>
      <c r="AF24" s="2"/>
      <c r="AG24" s="2"/>
      <c r="AH24" s="7"/>
    </row>
    <row r="25" spans="1:34">
      <c r="A25" s="17"/>
      <c r="B25" s="20"/>
      <c r="C25" t="s">
        <v>658</v>
      </c>
      <c r="F25" s="7"/>
      <c r="G25" s="11">
        <v>1</v>
      </c>
      <c r="H25" s="13" t="s">
        <v>490</v>
      </c>
      <c r="I25" s="21">
        <v>15000</v>
      </c>
      <c r="J25" s="13">
        <f>G25*I25</f>
        <v>15000</v>
      </c>
      <c r="L25" s="64">
        <f t="shared" si="0"/>
        <v>9843.7884328732544</v>
      </c>
      <c r="M25" s="649">
        <f t="shared" si="1"/>
        <v>5156.2115671267456</v>
      </c>
      <c r="O25" s="2"/>
      <c r="Q25" s="2"/>
      <c r="R25" s="2"/>
      <c r="S25" s="7"/>
      <c r="U25" s="21"/>
      <c r="V25" s="21"/>
      <c r="W25" s="21"/>
      <c r="X25" s="21"/>
      <c r="Y25" s="21"/>
      <c r="AA25" s="6"/>
      <c r="AB25" s="2"/>
      <c r="AD25" s="2"/>
      <c r="AF25" s="2"/>
      <c r="AG25" s="2"/>
      <c r="AH25" s="7"/>
    </row>
    <row r="26" spans="1:34">
      <c r="A26" s="17"/>
      <c r="B26" s="20"/>
      <c r="F26" s="7"/>
      <c r="G26" s="11"/>
      <c r="H26" s="13"/>
      <c r="I26" s="21"/>
      <c r="J26" s="13"/>
      <c r="L26" s="64">
        <f t="shared" si="0"/>
        <v>0</v>
      </c>
      <c r="M26" s="649">
        <f t="shared" si="1"/>
        <v>0</v>
      </c>
      <c r="O26" s="2"/>
      <c r="Q26" s="2"/>
      <c r="R26" s="2"/>
      <c r="S26" s="7"/>
      <c r="U26" s="21"/>
      <c r="V26" s="21"/>
      <c r="W26" s="21"/>
      <c r="X26" s="21"/>
      <c r="Y26" s="21"/>
      <c r="AA26" s="6"/>
      <c r="AB26" s="2"/>
      <c r="AD26" s="2"/>
      <c r="AF26" s="2"/>
      <c r="AG26" s="2"/>
      <c r="AH26" s="7"/>
    </row>
    <row r="27" spans="1:34">
      <c r="A27" s="17"/>
      <c r="B27" s="20"/>
      <c r="C27" t="s">
        <v>692</v>
      </c>
      <c r="F27" s="7"/>
      <c r="G27" s="11">
        <v>180</v>
      </c>
      <c r="H27" s="13" t="s">
        <v>4</v>
      </c>
      <c r="I27" s="21">
        <f>'Road Construction'!N4</f>
        <v>854.9316598219184</v>
      </c>
      <c r="J27" s="13">
        <f>G27*I27</f>
        <v>153887.69876794532</v>
      </c>
      <c r="L27" s="64">
        <f t="shared" si="0"/>
        <v>100989.19660622558</v>
      </c>
      <c r="M27" s="649">
        <f t="shared" si="1"/>
        <v>52898.502161719734</v>
      </c>
      <c r="O27" s="2"/>
      <c r="Q27" s="2"/>
      <c r="R27" s="2"/>
      <c r="S27" s="7"/>
      <c r="U27" s="21"/>
      <c r="V27" s="21"/>
      <c r="W27" s="21"/>
      <c r="X27" s="21"/>
      <c r="Y27" s="21"/>
      <c r="AA27" s="6"/>
      <c r="AB27" s="2"/>
      <c r="AD27" s="2"/>
      <c r="AF27" s="2"/>
      <c r="AG27" s="2"/>
      <c r="AH27" s="7"/>
    </row>
    <row r="28" spans="1:34">
      <c r="A28" s="17"/>
      <c r="B28" s="20"/>
      <c r="F28" s="7"/>
      <c r="G28" s="11"/>
      <c r="H28" s="13"/>
      <c r="I28" s="21"/>
      <c r="J28" s="13"/>
      <c r="L28" s="64">
        <f t="shared" si="0"/>
        <v>0</v>
      </c>
      <c r="M28" s="649">
        <f t="shared" si="1"/>
        <v>0</v>
      </c>
      <c r="O28" s="2"/>
      <c r="Q28" s="2"/>
      <c r="R28" s="2"/>
      <c r="S28" s="7"/>
      <c r="U28" s="21"/>
      <c r="V28" s="21"/>
      <c r="W28" s="21"/>
      <c r="X28" s="21"/>
      <c r="Y28" s="21"/>
      <c r="AA28" s="6"/>
      <c r="AB28" s="2"/>
      <c r="AD28" s="2"/>
      <c r="AF28" s="2"/>
      <c r="AG28" s="2"/>
      <c r="AH28" s="7"/>
    </row>
    <row r="29" spans="1:34">
      <c r="A29" s="17"/>
      <c r="B29" s="20"/>
      <c r="C29" t="s">
        <v>693</v>
      </c>
      <c r="F29" s="7"/>
      <c r="G29" s="11">
        <f>G27*2</f>
        <v>360</v>
      </c>
      <c r="H29" s="13" t="s">
        <v>4</v>
      </c>
      <c r="I29" s="21">
        <f>'Footpath Construction'!N4</f>
        <v>154.34192751894201</v>
      </c>
      <c r="J29" s="13">
        <f>G29*I29</f>
        <v>55563.093906819122</v>
      </c>
      <c r="L29" s="64">
        <f t="shared" si="0"/>
        <v>36463.422739639762</v>
      </c>
      <c r="M29" s="649">
        <f t="shared" si="1"/>
        <v>19099.67116717936</v>
      </c>
      <c r="O29" s="2"/>
      <c r="Q29" s="2"/>
      <c r="R29" s="2"/>
      <c r="S29" s="7"/>
      <c r="U29" s="21"/>
      <c r="V29" s="21"/>
      <c r="W29" s="21"/>
      <c r="X29" s="21"/>
      <c r="Y29" s="21"/>
      <c r="AA29" s="6"/>
      <c r="AB29" s="2"/>
      <c r="AD29" s="2"/>
      <c r="AF29" s="2"/>
      <c r="AG29" s="2"/>
      <c r="AH29" s="7"/>
    </row>
    <row r="30" spans="1:34">
      <c r="A30" s="17"/>
      <c r="B30" s="20"/>
      <c r="F30" s="7"/>
      <c r="G30" s="11"/>
      <c r="H30" s="13"/>
      <c r="I30" s="21"/>
      <c r="J30" s="13"/>
      <c r="L30" s="64">
        <f t="shared" si="0"/>
        <v>0</v>
      </c>
      <c r="M30" s="649">
        <f t="shared" si="1"/>
        <v>0</v>
      </c>
      <c r="O30" s="2"/>
      <c r="Q30" s="2"/>
      <c r="R30" s="2"/>
      <c r="S30" s="7"/>
      <c r="U30" s="21"/>
      <c r="V30" s="21"/>
      <c r="W30" s="21"/>
      <c r="X30" s="21"/>
      <c r="Y30" s="21"/>
      <c r="AA30" s="6"/>
      <c r="AB30" s="2"/>
      <c r="AD30" s="2"/>
      <c r="AF30" s="2"/>
      <c r="AG30" s="2"/>
      <c r="AH30" s="7"/>
    </row>
    <row r="31" spans="1:34">
      <c r="A31" s="17"/>
      <c r="B31" s="20"/>
      <c r="C31" t="s">
        <v>694</v>
      </c>
      <c r="F31" s="7"/>
      <c r="G31" s="11">
        <f>G27</f>
        <v>180</v>
      </c>
      <c r="H31" s="13" t="s">
        <v>490</v>
      </c>
      <c r="I31" s="21">
        <f>'Surface Water Sewers'!N4</f>
        <v>346.39338653948715</v>
      </c>
      <c r="J31" s="13">
        <f>G31*I31</f>
        <v>62350.809577107684</v>
      </c>
      <c r="L31" s="64">
        <f t="shared" si="0"/>
        <v>40917.878539694371</v>
      </c>
      <c r="M31" s="649">
        <f t="shared" si="1"/>
        <v>21432.931037413313</v>
      </c>
      <c r="O31" s="2"/>
      <c r="Q31" s="2"/>
      <c r="R31" s="2"/>
      <c r="S31" s="7"/>
      <c r="U31" s="21"/>
      <c r="V31" s="21"/>
      <c r="W31" s="21"/>
      <c r="X31" s="21"/>
      <c r="Y31" s="21"/>
      <c r="AA31" s="6"/>
      <c r="AB31" s="2"/>
      <c r="AD31" s="2"/>
      <c r="AF31" s="2"/>
      <c r="AG31" s="2"/>
      <c r="AH31" s="7"/>
    </row>
    <row r="32" spans="1:34">
      <c r="A32" s="17"/>
      <c r="B32" s="20"/>
      <c r="F32" s="7"/>
      <c r="G32" s="11"/>
      <c r="H32" s="13"/>
      <c r="I32" s="21"/>
      <c r="J32" s="13"/>
      <c r="L32" s="64">
        <f t="shared" si="0"/>
        <v>0</v>
      </c>
      <c r="M32" s="649">
        <f t="shared" si="1"/>
        <v>0</v>
      </c>
      <c r="O32" s="2"/>
      <c r="Q32" s="2"/>
      <c r="R32" s="2"/>
      <c r="S32" s="7"/>
      <c r="U32" s="21"/>
      <c r="V32" s="21"/>
      <c r="W32" s="21"/>
      <c r="X32" s="21"/>
      <c r="Y32" s="21"/>
      <c r="AA32" s="6"/>
      <c r="AB32" s="2"/>
      <c r="AD32" s="2"/>
      <c r="AF32" s="2"/>
      <c r="AG32" s="2"/>
      <c r="AH32" s="7"/>
    </row>
    <row r="33" spans="1:34">
      <c r="A33" s="17"/>
      <c r="B33" s="20"/>
      <c r="C33" t="s">
        <v>695</v>
      </c>
      <c r="F33" s="7"/>
      <c r="G33" s="11">
        <f>G27/30+1</f>
        <v>7</v>
      </c>
      <c r="H33" s="13" t="s">
        <v>19</v>
      </c>
      <c r="I33" s="21">
        <f>1450+850</f>
        <v>2300</v>
      </c>
      <c r="J33" s="13">
        <f>G33*I33</f>
        <v>16100</v>
      </c>
      <c r="L33" s="64">
        <f t="shared" si="0"/>
        <v>10565.666251283959</v>
      </c>
      <c r="M33" s="649">
        <f t="shared" si="1"/>
        <v>5534.3337487160406</v>
      </c>
      <c r="O33" s="2"/>
      <c r="Q33" s="2"/>
      <c r="R33" s="2"/>
      <c r="S33" s="7"/>
      <c r="U33" s="21"/>
      <c r="V33" s="21"/>
      <c r="W33" s="21"/>
      <c r="X33" s="21"/>
      <c r="Y33" s="21"/>
      <c r="AA33" s="6"/>
      <c r="AB33" s="2"/>
      <c r="AD33" s="2"/>
      <c r="AF33" s="2"/>
      <c r="AG33" s="2"/>
      <c r="AH33" s="7"/>
    </row>
    <row r="34" spans="1:34">
      <c r="A34" s="17"/>
      <c r="B34" s="20"/>
      <c r="F34" s="7"/>
      <c r="G34" s="11"/>
      <c r="H34" s="13"/>
      <c r="I34" s="21"/>
      <c r="J34" s="13"/>
      <c r="L34" s="64">
        <f t="shared" si="0"/>
        <v>0</v>
      </c>
      <c r="M34" s="649">
        <f t="shared" si="1"/>
        <v>0</v>
      </c>
      <c r="O34" s="2"/>
      <c r="Q34" s="2"/>
      <c r="R34" s="2"/>
      <c r="S34" s="7"/>
      <c r="U34" s="21"/>
      <c r="V34" s="21"/>
      <c r="W34" s="21"/>
      <c r="X34" s="21"/>
      <c r="Y34" s="21"/>
      <c r="AA34" s="6"/>
      <c r="AB34" s="2"/>
      <c r="AD34" s="2"/>
      <c r="AF34" s="2"/>
      <c r="AG34" s="2"/>
      <c r="AH34" s="7"/>
    </row>
    <row r="35" spans="1:34">
      <c r="A35" s="17"/>
      <c r="B35" s="20"/>
      <c r="C35" t="s">
        <v>697</v>
      </c>
      <c r="F35" s="7"/>
      <c r="G35" s="11">
        <f>G27</f>
        <v>180</v>
      </c>
      <c r="H35" s="13" t="s">
        <v>19</v>
      </c>
      <c r="I35" s="21">
        <f>28.5*5</f>
        <v>142.5</v>
      </c>
      <c r="J35" s="13">
        <f>G35*I35</f>
        <v>25650</v>
      </c>
      <c r="L35" s="64">
        <f t="shared" si="0"/>
        <v>16832.878220213264</v>
      </c>
      <c r="M35" s="649">
        <f t="shared" si="1"/>
        <v>8817.1217797867357</v>
      </c>
      <c r="O35" s="2"/>
      <c r="Q35" s="2"/>
      <c r="R35" s="2"/>
      <c r="S35" s="7"/>
      <c r="U35" s="21"/>
      <c r="V35" s="21"/>
      <c r="W35" s="21"/>
      <c r="X35" s="21"/>
      <c r="Y35" s="21"/>
      <c r="AA35" s="6"/>
      <c r="AB35" s="2"/>
      <c r="AD35" s="2"/>
      <c r="AF35" s="2"/>
      <c r="AG35" s="2"/>
      <c r="AH35" s="7"/>
    </row>
    <row r="36" spans="1:34">
      <c r="A36" s="17"/>
      <c r="B36" s="20"/>
      <c r="F36" s="7"/>
      <c r="G36" s="11"/>
      <c r="H36" s="13"/>
      <c r="I36" s="21"/>
      <c r="J36" s="13"/>
      <c r="L36" s="64">
        <f t="shared" si="0"/>
        <v>0</v>
      </c>
      <c r="M36" s="649">
        <f t="shared" si="1"/>
        <v>0</v>
      </c>
      <c r="O36" s="2"/>
      <c r="Q36" s="2"/>
      <c r="R36" s="2"/>
      <c r="S36" s="7"/>
      <c r="U36" s="21"/>
      <c r="V36" s="21"/>
      <c r="W36" s="21"/>
      <c r="X36" s="21"/>
      <c r="Y36" s="21"/>
      <c r="AA36" s="6"/>
      <c r="AB36" s="2"/>
      <c r="AD36" s="2"/>
      <c r="AF36" s="2"/>
      <c r="AG36" s="2"/>
      <c r="AH36" s="7"/>
    </row>
    <row r="37" spans="1:34">
      <c r="A37" s="17"/>
      <c r="B37" s="20"/>
      <c r="C37" t="s">
        <v>696</v>
      </c>
      <c r="F37" s="7"/>
      <c r="G37" s="11">
        <v>1</v>
      </c>
      <c r="H37" s="13" t="s">
        <v>19</v>
      </c>
      <c r="I37" s="21">
        <v>22500</v>
      </c>
      <c r="J37" s="13">
        <f>G37*I37</f>
        <v>22500</v>
      </c>
      <c r="L37" s="64">
        <f t="shared" si="0"/>
        <v>14765.68264930988</v>
      </c>
      <c r="M37" s="649">
        <f t="shared" si="1"/>
        <v>7734.3173506901203</v>
      </c>
      <c r="O37" s="2"/>
      <c r="Q37" s="2"/>
      <c r="R37" s="2"/>
      <c r="S37" s="7"/>
      <c r="U37" s="21"/>
      <c r="V37" s="21"/>
      <c r="W37" s="21"/>
      <c r="X37" s="21"/>
      <c r="Y37" s="21"/>
      <c r="AA37" s="6"/>
      <c r="AB37" s="2"/>
      <c r="AD37" s="2"/>
      <c r="AF37" s="2"/>
      <c r="AG37" s="2"/>
      <c r="AH37" s="7"/>
    </row>
    <row r="38" spans="1:34">
      <c r="A38" s="17"/>
      <c r="B38" s="20"/>
      <c r="F38" s="7"/>
      <c r="G38" s="11"/>
      <c r="H38" s="13"/>
      <c r="I38" s="21"/>
      <c r="J38" s="13"/>
      <c r="L38" s="64">
        <f t="shared" si="0"/>
        <v>0</v>
      </c>
      <c r="M38" s="649">
        <f t="shared" si="1"/>
        <v>0</v>
      </c>
      <c r="O38" s="2"/>
      <c r="Q38" s="2"/>
      <c r="R38" s="2"/>
      <c r="S38" s="7"/>
      <c r="U38" s="21"/>
      <c r="V38" s="21"/>
      <c r="W38" s="21"/>
      <c r="X38" s="21"/>
      <c r="Y38" s="21"/>
      <c r="AA38" s="6"/>
      <c r="AB38" s="2"/>
      <c r="AD38" s="2"/>
      <c r="AF38" s="2"/>
      <c r="AG38" s="2"/>
      <c r="AH38" s="7"/>
    </row>
    <row r="39" spans="1:34">
      <c r="A39" s="17"/>
      <c r="B39" s="20"/>
      <c r="C39" t="s">
        <v>492</v>
      </c>
      <c r="F39" s="557">
        <v>0.125</v>
      </c>
      <c r="G39" s="11">
        <f>SUM(J25:J37)</f>
        <v>351051.60225187213</v>
      </c>
      <c r="H39" s="13"/>
      <c r="I39" s="555">
        <v>0.125</v>
      </c>
      <c r="J39" s="13">
        <f>G39*I39</f>
        <v>43881.450281484016</v>
      </c>
      <c r="L39" s="64">
        <f t="shared" si="0"/>
        <v>28797.31417990501</v>
      </c>
      <c r="M39" s="649">
        <f t="shared" si="1"/>
        <v>15084.136101579006</v>
      </c>
      <c r="O39" s="2"/>
      <c r="Q39" s="2"/>
      <c r="R39" s="2"/>
      <c r="S39" s="7"/>
      <c r="U39" s="21"/>
      <c r="V39" s="21"/>
      <c r="W39" s="21"/>
      <c r="X39" s="21"/>
      <c r="Y39" s="21"/>
      <c r="AA39" s="6"/>
      <c r="AB39" s="2"/>
      <c r="AD39" s="2"/>
      <c r="AF39" s="2"/>
      <c r="AG39" s="2"/>
      <c r="AH39" s="7"/>
    </row>
    <row r="40" spans="1:34">
      <c r="A40" s="17"/>
      <c r="B40" s="6"/>
      <c r="F40" s="36"/>
      <c r="G40" s="11"/>
      <c r="H40" s="13"/>
      <c r="I40" s="21"/>
      <c r="J40" s="13"/>
      <c r="L40" s="64">
        <f t="shared" si="0"/>
        <v>0</v>
      </c>
      <c r="M40" s="649">
        <f t="shared" si="1"/>
        <v>0</v>
      </c>
      <c r="O40" s="2"/>
      <c r="Q40" s="2"/>
      <c r="R40" s="2"/>
      <c r="S40" s="7"/>
      <c r="U40" s="21"/>
      <c r="V40" s="21"/>
      <c r="W40" s="21"/>
      <c r="X40" s="21"/>
      <c r="Y40" s="21"/>
      <c r="AA40" s="6"/>
      <c r="AB40" s="2"/>
      <c r="AD40" s="2"/>
      <c r="AF40" s="2"/>
      <c r="AG40" s="2"/>
      <c r="AH40" s="7"/>
    </row>
    <row r="41" spans="1:34">
      <c r="A41" s="17"/>
      <c r="B41" s="6"/>
      <c r="C41" t="s">
        <v>489</v>
      </c>
      <c r="F41" s="36"/>
      <c r="G41" s="11">
        <f>SUM(J25:J39)</f>
        <v>394933.05253335612</v>
      </c>
      <c r="H41" s="13" t="s">
        <v>486</v>
      </c>
      <c r="I41" s="555">
        <v>7.4999999999999997E-2</v>
      </c>
      <c r="J41" s="13">
        <f>G41*I41</f>
        <v>29619.978940001707</v>
      </c>
      <c r="L41" s="64">
        <f t="shared" si="0"/>
        <v>19438.187071435881</v>
      </c>
      <c r="M41" s="649">
        <f t="shared" si="1"/>
        <v>10181.791868565826</v>
      </c>
      <c r="O41" s="2"/>
      <c r="Q41" s="2"/>
      <c r="R41" s="2"/>
      <c r="S41" s="7"/>
      <c r="U41" s="21"/>
      <c r="V41" s="21"/>
      <c r="W41" s="21"/>
      <c r="X41" s="21"/>
      <c r="Y41" s="21"/>
      <c r="AA41" s="6"/>
      <c r="AB41" s="2"/>
      <c r="AD41" s="2"/>
      <c r="AF41" s="2"/>
      <c r="AG41" s="2"/>
      <c r="AH41" s="7"/>
    </row>
    <row r="42" spans="1:34">
      <c r="A42" s="17"/>
      <c r="B42" s="6"/>
      <c r="F42" s="36"/>
      <c r="G42" s="11"/>
      <c r="H42" s="13"/>
      <c r="I42" s="21"/>
      <c r="J42" s="13"/>
      <c r="L42" s="64">
        <f t="shared" si="0"/>
        <v>0</v>
      </c>
      <c r="M42" s="649">
        <f t="shared" si="1"/>
        <v>0</v>
      </c>
      <c r="O42" s="2"/>
      <c r="Q42" s="2"/>
      <c r="R42" s="2"/>
      <c r="S42" s="7"/>
      <c r="U42" s="21"/>
      <c r="V42" s="21"/>
      <c r="W42" s="21"/>
      <c r="X42" s="21"/>
      <c r="Y42" s="21"/>
      <c r="AA42" s="6"/>
      <c r="AB42" s="2"/>
      <c r="AD42" s="2"/>
      <c r="AF42" s="2"/>
      <c r="AG42" s="2"/>
      <c r="AH42" s="7"/>
    </row>
    <row r="43" spans="1:34">
      <c r="A43" s="17"/>
      <c r="B43" s="6"/>
      <c r="C43" t="s">
        <v>485</v>
      </c>
      <c r="F43" s="36"/>
      <c r="G43" s="11">
        <f>SUM(J25:J41)</f>
        <v>424553.03147335781</v>
      </c>
      <c r="H43" s="13" t="s">
        <v>486</v>
      </c>
      <c r="I43" s="555">
        <v>0.14000000000000001</v>
      </c>
      <c r="J43" s="13">
        <f>G43*I43</f>
        <v>59437.424406270096</v>
      </c>
      <c r="L43" s="64">
        <f t="shared" si="0"/>
        <v>39005.962056681332</v>
      </c>
      <c r="M43" s="649">
        <f t="shared" si="1"/>
        <v>20431.462349588764</v>
      </c>
      <c r="O43" s="2"/>
      <c r="Q43" s="2"/>
      <c r="R43" s="2"/>
      <c r="S43" s="7"/>
      <c r="U43" s="21"/>
      <c r="V43" s="21"/>
      <c r="W43" s="21"/>
      <c r="X43" s="21"/>
      <c r="Y43" s="21"/>
      <c r="AA43" s="6"/>
      <c r="AB43" s="2"/>
      <c r="AD43" s="2"/>
      <c r="AF43" s="2"/>
      <c r="AG43" s="2"/>
      <c r="AH43" s="7"/>
    </row>
    <row r="44" spans="1:34">
      <c r="A44" s="17"/>
      <c r="B44" s="6"/>
      <c r="C44" t="s">
        <v>487</v>
      </c>
      <c r="F44" s="36"/>
      <c r="G44" s="11">
        <f>G43</f>
        <v>424553.03147335781</v>
      </c>
      <c r="H44" s="13" t="s">
        <v>486</v>
      </c>
      <c r="I44" s="555">
        <v>5.5E-2</v>
      </c>
      <c r="J44" s="13">
        <f>G44*I44</f>
        <v>23350.416731034678</v>
      </c>
      <c r="L44" s="64">
        <f t="shared" si="0"/>
        <v>15323.770807981953</v>
      </c>
      <c r="M44" s="649">
        <f t="shared" si="1"/>
        <v>8026.6459230527253</v>
      </c>
      <c r="O44" s="2"/>
      <c r="Q44" s="2"/>
      <c r="R44" s="2"/>
      <c r="S44" s="7"/>
      <c r="U44" s="21"/>
      <c r="V44" s="21"/>
      <c r="W44" s="21"/>
      <c r="X44" s="21"/>
      <c r="Y44" s="21"/>
      <c r="AA44" s="6"/>
      <c r="AB44" s="2"/>
      <c r="AD44" s="2"/>
      <c r="AF44" s="2"/>
      <c r="AG44" s="2"/>
      <c r="AH44" s="7"/>
    </row>
    <row r="45" spans="1:34">
      <c r="A45" s="17"/>
      <c r="B45" s="20"/>
      <c r="F45" s="7"/>
      <c r="G45" s="11"/>
      <c r="H45" s="13"/>
      <c r="I45" s="21"/>
      <c r="J45" s="13"/>
      <c r="L45" s="64">
        <f t="shared" si="0"/>
        <v>0</v>
      </c>
      <c r="M45" s="649">
        <f t="shared" si="1"/>
        <v>0</v>
      </c>
      <c r="O45" s="2"/>
      <c r="Q45" s="2"/>
      <c r="R45" s="2"/>
      <c r="S45" s="7"/>
      <c r="U45" s="21"/>
      <c r="V45" s="21"/>
      <c r="W45" s="21"/>
      <c r="X45" s="21"/>
      <c r="Y45" s="21"/>
      <c r="AA45" s="6"/>
      <c r="AB45" s="2"/>
      <c r="AD45" s="2"/>
      <c r="AF45" s="2"/>
      <c r="AG45" s="2"/>
      <c r="AH45" s="7"/>
    </row>
    <row r="46" spans="1:34">
      <c r="A46" s="17"/>
      <c r="B46" s="20"/>
      <c r="F46" s="7"/>
      <c r="G46" s="11"/>
      <c r="H46" s="13"/>
      <c r="I46" s="21"/>
      <c r="J46" s="13"/>
      <c r="L46" s="64">
        <f t="shared" si="0"/>
        <v>0</v>
      </c>
      <c r="M46" s="649">
        <f t="shared" si="1"/>
        <v>0</v>
      </c>
      <c r="O46" s="2"/>
      <c r="Q46" s="2"/>
      <c r="R46" s="2"/>
      <c r="S46" s="7"/>
      <c r="U46" s="21"/>
      <c r="V46" s="21"/>
      <c r="W46" s="21"/>
      <c r="X46" s="21"/>
      <c r="Y46" s="21"/>
      <c r="AA46" s="6"/>
      <c r="AB46" s="2"/>
      <c r="AD46" s="2"/>
      <c r="AF46" s="2"/>
      <c r="AG46" s="2"/>
      <c r="AH46" s="7"/>
    </row>
    <row r="47" spans="1:34" ht="19">
      <c r="A47" s="17"/>
      <c r="B47" s="20"/>
      <c r="C47" s="556" t="s">
        <v>699</v>
      </c>
      <c r="F47" s="7"/>
      <c r="G47" s="11"/>
      <c r="H47" s="13"/>
      <c r="I47" s="21"/>
      <c r="J47" s="13"/>
      <c r="L47" s="64">
        <f t="shared" si="0"/>
        <v>0</v>
      </c>
      <c r="M47" s="649">
        <f t="shared" si="1"/>
        <v>0</v>
      </c>
      <c r="O47" s="2"/>
      <c r="Q47" s="2"/>
      <c r="R47" s="2"/>
      <c r="S47" s="7"/>
      <c r="U47" s="21"/>
      <c r="V47" s="21"/>
      <c r="W47" s="21"/>
      <c r="X47" s="21"/>
      <c r="Y47" s="21"/>
      <c r="AA47" s="6"/>
      <c r="AB47" s="2"/>
      <c r="AD47" s="2"/>
      <c r="AF47" s="2"/>
      <c r="AG47" s="2"/>
      <c r="AH47" s="7"/>
    </row>
    <row r="48" spans="1:34">
      <c r="A48" s="17"/>
      <c r="B48" s="20"/>
      <c r="F48" s="7"/>
      <c r="G48" s="11"/>
      <c r="H48" s="13"/>
      <c r="I48" s="21"/>
      <c r="J48" s="13"/>
      <c r="L48" s="64">
        <f t="shared" si="0"/>
        <v>0</v>
      </c>
      <c r="M48" s="649">
        <f t="shared" si="1"/>
        <v>0</v>
      </c>
      <c r="O48" s="2"/>
      <c r="Q48" s="2"/>
      <c r="R48" s="2"/>
      <c r="S48" s="7"/>
      <c r="U48" s="21"/>
      <c r="V48" s="21"/>
      <c r="W48" s="21"/>
      <c r="X48" s="21"/>
      <c r="Y48" s="21"/>
      <c r="AA48" s="6"/>
      <c r="AB48" s="2"/>
      <c r="AD48" s="2"/>
      <c r="AF48" s="2"/>
      <c r="AG48" s="2"/>
      <c r="AH48" s="7"/>
    </row>
    <row r="49" spans="1:34">
      <c r="A49" s="17"/>
      <c r="B49" s="20"/>
      <c r="C49" t="s">
        <v>701</v>
      </c>
      <c r="F49" s="7"/>
      <c r="G49" s="11">
        <v>1</v>
      </c>
      <c r="H49" s="13" t="s">
        <v>490</v>
      </c>
      <c r="I49" s="21">
        <v>20000</v>
      </c>
      <c r="J49" s="13">
        <f>G49*I49</f>
        <v>20000</v>
      </c>
      <c r="L49" s="64">
        <f t="shared" si="0"/>
        <v>13125.051243831005</v>
      </c>
      <c r="M49" s="649">
        <f t="shared" si="1"/>
        <v>6874.9487561689948</v>
      </c>
      <c r="O49" s="2"/>
      <c r="Q49" s="2"/>
      <c r="R49" s="2"/>
      <c r="S49" s="7"/>
      <c r="U49" s="21"/>
      <c r="V49" s="21"/>
      <c r="W49" s="21"/>
      <c r="X49" s="21"/>
      <c r="Y49" s="21"/>
      <c r="AA49" s="6"/>
      <c r="AB49" s="2"/>
      <c r="AD49" s="2"/>
      <c r="AF49" s="2"/>
      <c r="AG49" s="2"/>
      <c r="AH49" s="7"/>
    </row>
    <row r="50" spans="1:34">
      <c r="A50" s="17"/>
      <c r="B50" s="20"/>
      <c r="F50" s="7"/>
      <c r="G50" s="11"/>
      <c r="H50" s="13"/>
      <c r="I50" s="21"/>
      <c r="J50" s="13"/>
      <c r="L50" s="64">
        <f t="shared" si="0"/>
        <v>0</v>
      </c>
      <c r="M50" s="649">
        <f t="shared" si="1"/>
        <v>0</v>
      </c>
      <c r="O50" s="2"/>
      <c r="Q50" s="2"/>
      <c r="R50" s="2"/>
      <c r="S50" s="7"/>
      <c r="U50" s="21"/>
      <c r="V50" s="21"/>
      <c r="W50" s="21"/>
      <c r="X50" s="21"/>
      <c r="Y50" s="21"/>
      <c r="AA50" s="6"/>
      <c r="AB50" s="2"/>
      <c r="AD50" s="2"/>
      <c r="AF50" s="2"/>
      <c r="AG50" s="2"/>
      <c r="AH50" s="7"/>
    </row>
    <row r="51" spans="1:34">
      <c r="A51" s="17"/>
      <c r="B51" s="20"/>
      <c r="F51" s="7"/>
      <c r="G51" s="11"/>
      <c r="H51" s="13"/>
      <c r="I51" s="21"/>
      <c r="J51" s="13"/>
      <c r="L51" s="64">
        <f t="shared" si="0"/>
        <v>0</v>
      </c>
      <c r="M51" s="649">
        <f t="shared" si="1"/>
        <v>0</v>
      </c>
      <c r="O51" s="2"/>
      <c r="Q51" s="2"/>
      <c r="R51" s="2"/>
      <c r="S51" s="7"/>
      <c r="U51" s="21"/>
      <c r="V51" s="21"/>
      <c r="W51" s="21"/>
      <c r="X51" s="21"/>
      <c r="Y51" s="21"/>
      <c r="AA51" s="6"/>
      <c r="AB51" s="2"/>
      <c r="AD51" s="2"/>
      <c r="AF51" s="2"/>
      <c r="AG51" s="2"/>
      <c r="AH51" s="7"/>
    </row>
    <row r="52" spans="1:34">
      <c r="A52" s="17"/>
      <c r="B52" s="20"/>
      <c r="F52" s="7"/>
      <c r="G52" s="11"/>
      <c r="H52" s="13"/>
      <c r="I52" s="21"/>
      <c r="J52" s="13"/>
      <c r="L52" s="64">
        <f t="shared" si="0"/>
        <v>0</v>
      </c>
      <c r="M52" s="649">
        <f t="shared" si="1"/>
        <v>0</v>
      </c>
      <c r="O52" s="2"/>
      <c r="Q52" s="2"/>
      <c r="R52" s="26"/>
      <c r="S52" s="7"/>
      <c r="U52" s="21"/>
      <c r="V52" s="21"/>
      <c r="W52" s="21"/>
      <c r="X52" s="21"/>
      <c r="Y52" s="21"/>
      <c r="AA52" s="6"/>
      <c r="AB52" s="2"/>
      <c r="AD52" s="2"/>
      <c r="AF52" s="2"/>
      <c r="AG52" s="2"/>
      <c r="AH52" s="7"/>
    </row>
    <row r="53" spans="1:34" ht="19">
      <c r="A53" s="17"/>
      <c r="B53" s="20"/>
      <c r="C53" s="556" t="s">
        <v>700</v>
      </c>
      <c r="F53" s="7"/>
      <c r="G53" s="11"/>
      <c r="H53" s="13"/>
      <c r="I53" s="21"/>
      <c r="J53" s="13"/>
      <c r="L53" s="64">
        <f t="shared" si="0"/>
        <v>0</v>
      </c>
      <c r="M53" s="649">
        <f t="shared" si="1"/>
        <v>0</v>
      </c>
      <c r="O53" s="2"/>
      <c r="Q53" s="2"/>
      <c r="R53" s="2"/>
      <c r="S53" s="7"/>
      <c r="U53" s="21"/>
      <c r="V53" s="21"/>
      <c r="W53" s="21"/>
      <c r="X53" s="21"/>
      <c r="Y53" s="21"/>
      <c r="AA53" s="6"/>
      <c r="AB53" s="2"/>
      <c r="AD53" s="2"/>
      <c r="AF53" s="2"/>
      <c r="AG53" s="2"/>
      <c r="AH53" s="7"/>
    </row>
    <row r="54" spans="1:34">
      <c r="A54" s="17"/>
      <c r="B54" s="20"/>
      <c r="F54" s="7"/>
      <c r="G54" s="11"/>
      <c r="H54" s="13"/>
      <c r="I54" s="21"/>
      <c r="J54" s="13"/>
      <c r="L54" s="64">
        <f t="shared" si="0"/>
        <v>0</v>
      </c>
      <c r="M54" s="649">
        <f t="shared" si="1"/>
        <v>0</v>
      </c>
      <c r="O54" s="2"/>
      <c r="Q54" s="2"/>
      <c r="R54" s="2"/>
      <c r="S54" s="7"/>
      <c r="U54" s="21"/>
      <c r="V54" s="21"/>
      <c r="W54" s="21"/>
      <c r="X54" s="21"/>
      <c r="Y54" s="21"/>
      <c r="AA54" s="6"/>
      <c r="AB54" s="2"/>
      <c r="AD54" s="2"/>
      <c r="AF54" s="2"/>
      <c r="AG54" s="2"/>
      <c r="AH54" s="7"/>
    </row>
    <row r="55" spans="1:34">
      <c r="A55" s="17"/>
      <c r="B55" s="20"/>
      <c r="C55" t="s">
        <v>701</v>
      </c>
      <c r="F55" s="7"/>
      <c r="G55" s="11">
        <v>1</v>
      </c>
      <c r="H55" s="13" t="s">
        <v>490</v>
      </c>
      <c r="I55" s="21">
        <v>20000</v>
      </c>
      <c r="J55" s="13">
        <f>G55*I55</f>
        <v>20000</v>
      </c>
      <c r="L55" s="64">
        <f t="shared" si="0"/>
        <v>13125.051243831005</v>
      </c>
      <c r="M55" s="649">
        <f t="shared" si="1"/>
        <v>6874.9487561689948</v>
      </c>
      <c r="O55" s="2"/>
      <c r="Q55" s="2"/>
      <c r="R55" s="2"/>
      <c r="S55" s="7"/>
      <c r="U55" s="21"/>
      <c r="V55" s="21"/>
      <c r="W55" s="21"/>
      <c r="X55" s="21"/>
      <c r="Y55" s="21"/>
      <c r="AA55" s="6"/>
      <c r="AB55" s="2"/>
      <c r="AD55" s="2"/>
      <c r="AF55" s="2"/>
      <c r="AG55" s="2"/>
      <c r="AH55" s="7"/>
    </row>
    <row r="56" spans="1:34">
      <c r="A56" s="17"/>
      <c r="B56" s="20"/>
      <c r="F56" s="7"/>
      <c r="G56" s="11"/>
      <c r="H56" s="13"/>
      <c r="I56" s="21"/>
      <c r="J56" s="13"/>
      <c r="L56" s="64">
        <f t="shared" si="0"/>
        <v>0</v>
      </c>
      <c r="M56" s="649">
        <f t="shared" si="1"/>
        <v>0</v>
      </c>
      <c r="N56" s="64"/>
      <c r="O56" s="2"/>
      <c r="Q56" s="2"/>
      <c r="R56" s="2"/>
      <c r="S56" s="7"/>
      <c r="U56" s="21"/>
      <c r="V56" s="21"/>
      <c r="W56" s="21"/>
      <c r="X56" s="21"/>
      <c r="Y56" s="21"/>
      <c r="AA56" s="6"/>
      <c r="AB56" s="2"/>
      <c r="AD56" s="2"/>
      <c r="AF56" s="2"/>
      <c r="AG56" s="2"/>
      <c r="AH56" s="7"/>
    </row>
    <row r="57" spans="1:34">
      <c r="A57" s="17"/>
      <c r="B57" s="20"/>
      <c r="F57" s="7"/>
      <c r="G57" s="11"/>
      <c r="H57" s="13"/>
      <c r="I57" s="21"/>
      <c r="J57" s="13"/>
      <c r="L57" s="64">
        <f t="shared" si="0"/>
        <v>0</v>
      </c>
      <c r="M57" s="649">
        <f t="shared" si="1"/>
        <v>0</v>
      </c>
      <c r="N57" s="86"/>
      <c r="O57" s="2"/>
      <c r="Q57" s="2"/>
      <c r="R57" s="2"/>
      <c r="S57" s="7"/>
      <c r="U57" s="21"/>
      <c r="V57" s="21"/>
      <c r="W57" s="21"/>
      <c r="X57" s="21"/>
      <c r="Y57" s="21"/>
      <c r="AA57" s="6"/>
      <c r="AB57" s="2"/>
      <c r="AD57" s="2"/>
      <c r="AF57" s="2"/>
      <c r="AG57" s="2"/>
      <c r="AH57" s="7"/>
    </row>
    <row r="58" spans="1:34" ht="19">
      <c r="A58" s="17"/>
      <c r="B58" s="20"/>
      <c r="C58" s="556" t="s">
        <v>702</v>
      </c>
      <c r="F58" s="7"/>
      <c r="G58" s="11"/>
      <c r="H58" s="13"/>
      <c r="I58" s="21"/>
      <c r="J58" s="13"/>
      <c r="L58" s="64">
        <f t="shared" si="0"/>
        <v>0</v>
      </c>
      <c r="M58" s="649">
        <f t="shared" si="1"/>
        <v>0</v>
      </c>
      <c r="N58" s="86"/>
      <c r="O58" s="2"/>
      <c r="Q58" s="2"/>
      <c r="R58" s="2"/>
      <c r="S58" s="7"/>
      <c r="U58" s="21"/>
      <c r="V58" s="21"/>
      <c r="W58" s="21"/>
      <c r="X58" s="21"/>
      <c r="Y58" s="21"/>
      <c r="AA58" s="6"/>
      <c r="AB58" s="2"/>
      <c r="AD58" s="2"/>
      <c r="AF58" s="2"/>
      <c r="AG58" s="2"/>
      <c r="AH58" s="7"/>
    </row>
    <row r="59" spans="1:34">
      <c r="A59" s="17"/>
      <c r="B59" s="20"/>
      <c r="F59" s="7"/>
      <c r="G59" s="11"/>
      <c r="H59" s="13"/>
      <c r="I59" s="21"/>
      <c r="J59" s="13"/>
      <c r="L59" s="64">
        <f t="shared" si="0"/>
        <v>0</v>
      </c>
      <c r="M59" s="649">
        <f t="shared" si="1"/>
        <v>0</v>
      </c>
      <c r="N59" s="86"/>
      <c r="O59" s="2"/>
      <c r="Q59" s="2"/>
      <c r="R59" s="2"/>
      <c r="S59" s="7"/>
      <c r="U59" s="21"/>
      <c r="V59" s="21"/>
      <c r="W59" s="21"/>
      <c r="X59" s="21"/>
      <c r="Y59" s="21"/>
      <c r="AA59" s="6"/>
      <c r="AB59" s="2"/>
      <c r="AD59" s="2"/>
      <c r="AF59" s="2"/>
      <c r="AG59" s="2"/>
      <c r="AH59" s="7"/>
    </row>
    <row r="60" spans="1:34">
      <c r="A60" s="17"/>
      <c r="B60" s="20"/>
      <c r="C60" t="s">
        <v>703</v>
      </c>
      <c r="F60" s="7"/>
      <c r="G60" s="11">
        <v>1</v>
      </c>
      <c r="H60" s="13" t="s">
        <v>490</v>
      </c>
      <c r="I60" s="21">
        <v>30000</v>
      </c>
      <c r="J60" s="13">
        <f>G60*I60</f>
        <v>30000</v>
      </c>
      <c r="L60" s="64">
        <f t="shared" si="0"/>
        <v>19687.576865746509</v>
      </c>
      <c r="M60" s="649">
        <f t="shared" si="1"/>
        <v>10312.423134253491</v>
      </c>
      <c r="N60" s="86"/>
      <c r="O60" s="2"/>
      <c r="Q60" s="2"/>
      <c r="R60" s="2"/>
      <c r="S60" s="7"/>
      <c r="U60" s="21"/>
      <c r="V60" s="21"/>
      <c r="W60" s="21"/>
      <c r="X60" s="21"/>
      <c r="Y60" s="21"/>
      <c r="AA60" s="6"/>
      <c r="AB60" s="2"/>
      <c r="AD60" s="2"/>
      <c r="AF60" s="2"/>
      <c r="AG60" s="2"/>
      <c r="AH60" s="7"/>
    </row>
    <row r="61" spans="1:34">
      <c r="A61" s="17"/>
      <c r="B61" s="20"/>
      <c r="F61" s="7"/>
      <c r="G61" s="11"/>
      <c r="H61" s="13"/>
      <c r="I61" s="21"/>
      <c r="J61" s="13"/>
      <c r="L61" s="64">
        <f t="shared" si="0"/>
        <v>0</v>
      </c>
      <c r="M61" s="649">
        <f t="shared" si="1"/>
        <v>0</v>
      </c>
      <c r="N61" s="86"/>
      <c r="O61" s="2"/>
      <c r="Q61" s="2"/>
      <c r="R61" s="2"/>
      <c r="S61" s="7"/>
      <c r="U61" s="21"/>
      <c r="V61" s="21"/>
      <c r="W61" s="21"/>
      <c r="X61" s="21"/>
      <c r="Y61" s="21"/>
      <c r="AA61" s="6"/>
      <c r="AB61" s="2"/>
      <c r="AD61" s="2"/>
      <c r="AF61" s="2"/>
      <c r="AG61" s="2"/>
      <c r="AH61" s="7"/>
    </row>
    <row r="62" spans="1:34">
      <c r="A62" s="17"/>
      <c r="B62" s="20"/>
      <c r="C62" t="s">
        <v>704</v>
      </c>
      <c r="F62" s="7"/>
      <c r="G62" s="11">
        <v>2</v>
      </c>
      <c r="H62" s="13" t="s">
        <v>19</v>
      </c>
      <c r="I62" s="21">
        <v>20000</v>
      </c>
      <c r="J62" s="13">
        <f>G62*I62</f>
        <v>40000</v>
      </c>
      <c r="L62" s="64">
        <f t="shared" si="0"/>
        <v>26250.10248766201</v>
      </c>
      <c r="M62" s="649">
        <f t="shared" si="1"/>
        <v>13749.89751233799</v>
      </c>
      <c r="N62" s="86"/>
      <c r="O62" s="2"/>
      <c r="Q62" s="2"/>
      <c r="R62" s="2"/>
      <c r="S62" s="7"/>
      <c r="U62" s="21"/>
      <c r="V62" s="21"/>
      <c r="W62" s="21"/>
      <c r="X62" s="21"/>
      <c r="Y62" s="21"/>
      <c r="AA62" s="6"/>
      <c r="AB62" s="2"/>
      <c r="AD62" s="2"/>
      <c r="AF62" s="2"/>
      <c r="AG62" s="2"/>
      <c r="AH62" s="7"/>
    </row>
    <row r="63" spans="1:34">
      <c r="A63" s="17"/>
      <c r="B63" s="20"/>
      <c r="F63" s="7"/>
      <c r="G63" s="11"/>
      <c r="H63" s="13"/>
      <c r="I63" s="21"/>
      <c r="J63" s="13"/>
      <c r="L63" s="64"/>
      <c r="M63" s="2"/>
      <c r="N63" s="86"/>
      <c r="O63" s="2"/>
      <c r="Q63" s="2"/>
      <c r="R63" s="2"/>
      <c r="S63" s="7"/>
      <c r="U63" s="21"/>
      <c r="V63" s="21"/>
      <c r="W63" s="21"/>
      <c r="X63" s="21"/>
      <c r="Y63" s="21"/>
      <c r="AA63" s="6"/>
      <c r="AB63" s="2"/>
      <c r="AD63" s="2"/>
      <c r="AF63" s="2"/>
      <c r="AG63" s="2"/>
      <c r="AH63" s="7"/>
    </row>
    <row r="64" spans="1:34">
      <c r="A64" s="17"/>
      <c r="B64" s="20"/>
      <c r="F64" s="7"/>
      <c r="G64" s="11"/>
      <c r="H64" s="13"/>
      <c r="I64" s="21"/>
      <c r="J64" s="13"/>
      <c r="L64" s="6"/>
      <c r="M64" s="2"/>
      <c r="O64" s="2"/>
      <c r="Q64" s="2"/>
      <c r="R64" s="2"/>
      <c r="S64" s="7"/>
      <c r="U64" s="21"/>
      <c r="V64" s="21"/>
      <c r="W64" s="21"/>
      <c r="X64" s="21"/>
      <c r="Y64" s="21"/>
      <c r="AA64" s="6"/>
      <c r="AB64" s="2"/>
      <c r="AD64" s="2"/>
      <c r="AF64" s="2"/>
      <c r="AG64" s="2"/>
      <c r="AH64" s="7"/>
    </row>
    <row r="65" spans="1:34">
      <c r="A65" s="17"/>
      <c r="B65" s="6"/>
      <c r="F65" s="7"/>
      <c r="G65" s="11"/>
      <c r="H65" s="13"/>
      <c r="I65" s="21"/>
      <c r="J65" s="13"/>
      <c r="L65" s="6"/>
      <c r="M65" s="2"/>
      <c r="O65" s="2"/>
      <c r="Q65" s="2"/>
      <c r="R65" s="2"/>
      <c r="S65" s="7"/>
      <c r="U65" s="21"/>
      <c r="V65" s="21"/>
      <c r="W65" s="21"/>
      <c r="X65" s="21"/>
      <c r="Y65" s="21"/>
      <c r="AA65" s="6"/>
      <c r="AB65" s="2"/>
      <c r="AD65" s="2"/>
      <c r="AF65" s="2"/>
      <c r="AG65" s="2"/>
      <c r="AH65" s="7"/>
    </row>
    <row r="66" spans="1:34" ht="16" thickBot="1">
      <c r="A66" s="17"/>
      <c r="B66" s="6"/>
      <c r="F66" s="7"/>
      <c r="G66" s="11"/>
      <c r="H66" s="13"/>
      <c r="I66" s="21"/>
      <c r="J66" s="47">
        <f>SUM(J9:J65)</f>
        <v>1917340.8726106626</v>
      </c>
      <c r="L66" s="47">
        <f t="shared" ref="L66:S66" si="2">SUM(L9:L65)</f>
        <v>1258259.86024533</v>
      </c>
      <c r="M66" s="47">
        <f t="shared" si="2"/>
        <v>659081.01236533234</v>
      </c>
      <c r="N66" s="47">
        <f t="shared" si="2"/>
        <v>0</v>
      </c>
      <c r="O66" s="47">
        <f t="shared" si="2"/>
        <v>0</v>
      </c>
      <c r="P66" s="47">
        <f t="shared" si="2"/>
        <v>0</v>
      </c>
      <c r="Q66" s="47">
        <f t="shared" si="2"/>
        <v>0</v>
      </c>
      <c r="R66" s="47">
        <f t="shared" si="2"/>
        <v>0</v>
      </c>
      <c r="S66" s="47">
        <f t="shared" si="2"/>
        <v>0</v>
      </c>
      <c r="U66" s="65">
        <f>SUM(L66:T66)</f>
        <v>1917340.8726106624</v>
      </c>
      <c r="V66" s="65"/>
      <c r="W66" s="65"/>
      <c r="X66" s="65"/>
      <c r="Y66" s="65"/>
      <c r="AA66" s="47">
        <f t="shared" ref="AA66:AH66" si="3">SUM(AA9:AA65)</f>
        <v>0</v>
      </c>
      <c r="AB66" s="47">
        <f t="shared" si="3"/>
        <v>0</v>
      </c>
      <c r="AC66" s="47">
        <f t="shared" si="3"/>
        <v>0</v>
      </c>
      <c r="AD66" s="47">
        <f t="shared" si="3"/>
        <v>0</v>
      </c>
      <c r="AE66" s="47">
        <f t="shared" si="3"/>
        <v>0</v>
      </c>
      <c r="AF66" s="47">
        <f t="shared" si="3"/>
        <v>0</v>
      </c>
      <c r="AG66" s="47">
        <f t="shared" si="3"/>
        <v>0</v>
      </c>
      <c r="AH66" s="47">
        <f t="shared" si="3"/>
        <v>0</v>
      </c>
    </row>
    <row r="67" spans="1:34">
      <c r="A67" s="18"/>
      <c r="B67" s="8"/>
      <c r="C67" s="9"/>
      <c r="D67" s="9"/>
      <c r="E67" s="9"/>
      <c r="F67" s="10"/>
      <c r="G67" s="14"/>
      <c r="H67" s="15"/>
      <c r="I67" s="23"/>
      <c r="J67" s="15"/>
      <c r="L67" s="8"/>
      <c r="M67" s="63"/>
      <c r="N67" s="9"/>
      <c r="O67" s="63"/>
      <c r="P67" s="9"/>
      <c r="Q67" s="63"/>
      <c r="R67" s="63"/>
      <c r="S67" s="10"/>
      <c r="U67" s="21"/>
      <c r="V67" s="21"/>
      <c r="W67" s="21"/>
      <c r="X67" s="21"/>
      <c r="Y67" s="21"/>
      <c r="AA67" s="8"/>
      <c r="AB67" s="63"/>
      <c r="AC67" s="9"/>
      <c r="AD67" s="63"/>
      <c r="AE67" s="9"/>
      <c r="AF67" s="63"/>
      <c r="AG67" s="63"/>
      <c r="AH67" s="10"/>
    </row>
  </sheetData>
  <mergeCells count="19">
    <mergeCell ref="H2:I2"/>
    <mergeCell ref="J5:J8"/>
    <mergeCell ref="AA5:AH5"/>
    <mergeCell ref="AA6:AE6"/>
    <mergeCell ref="AF6:AF7"/>
    <mergeCell ref="AG6:AG7"/>
    <mergeCell ref="AH6:AH7"/>
    <mergeCell ref="L5:S5"/>
    <mergeCell ref="Q6:Q7"/>
    <mergeCell ref="R6:R7"/>
    <mergeCell ref="S6:S7"/>
    <mergeCell ref="L6:M6"/>
    <mergeCell ref="N6:O6"/>
    <mergeCell ref="P6:P7"/>
    <mergeCell ref="A5:A8"/>
    <mergeCell ref="B5:F8"/>
    <mergeCell ref="G5:G8"/>
    <mergeCell ref="H5:H8"/>
    <mergeCell ref="I5:I8"/>
  </mergeCells>
  <printOptions horizontalCentered="1"/>
  <pageMargins left="0.261811024" right="0.511811024" top="0.55118110200000003" bottom="0.55118110200000003" header="0.31496062992126" footer="0.31496062992126"/>
  <pageSetup paperSize="9" scale="5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 tint="0.39997558519241921"/>
    <pageSetUpPr fitToPage="1"/>
  </sheetPr>
  <dimension ref="A1:AH64"/>
  <sheetViews>
    <sheetView topLeftCell="A41" workbookViewId="0">
      <selection activeCell="L1" sqref="L1:S1048576"/>
    </sheetView>
  </sheetViews>
  <sheetFormatPr baseColWidth="10" defaultColWidth="8.83203125" defaultRowHeight="15"/>
  <cols>
    <col min="1" max="1" width="4" customWidth="1"/>
    <col min="3" max="3" width="9" bestFit="1" customWidth="1"/>
    <col min="5" max="5" width="12.5" customWidth="1"/>
    <col min="6" max="6" width="10.1640625" bestFit="1" customWidth="1"/>
    <col min="7" max="7" width="10" style="22" customWidth="1"/>
    <col min="8" max="8" width="6.5" customWidth="1"/>
    <col min="9" max="9" width="10.33203125" customWidth="1"/>
    <col min="10" max="10" width="13.33203125" customWidth="1"/>
    <col min="11" max="11" width="1.83203125" customWidth="1"/>
    <col min="12" max="13" width="14" hidden="1" customWidth="1"/>
    <col min="14" max="14" width="13" hidden="1" customWidth="1"/>
    <col min="15" max="15" width="13.6640625" hidden="1" customWidth="1"/>
    <col min="16" max="19" width="11.6640625" hidden="1" customWidth="1"/>
    <col min="21" max="21" width="11.5" customWidth="1"/>
    <col min="22" max="22" width="17" customWidth="1"/>
    <col min="23" max="25" width="11.5" customWidth="1"/>
    <col min="26" max="26" width="3.83203125" customWidth="1"/>
    <col min="27" max="34" width="12.6640625" hidden="1" customWidth="1"/>
  </cols>
  <sheetData>
    <row r="1" spans="1:34" s="1" customFormat="1">
      <c r="G1" s="560"/>
    </row>
    <row r="2" spans="1:34" s="1" customFormat="1" ht="16.5" customHeight="1">
      <c r="B2" s="1" t="str">
        <f>'Breakdown Summary'!B2</f>
        <v>Trows Farm, Castleton</v>
      </c>
      <c r="G2" s="560" t="str">
        <f>'Breakdown Summary'!G2</f>
        <v>Date</v>
      </c>
      <c r="H2" s="1045">
        <f>'Breakdown Summary'!H2</f>
        <v>45453</v>
      </c>
      <c r="I2" s="1045"/>
      <c r="J2" s="1" t="str">
        <f>'Breakdown Summary'!J2</f>
        <v>Ver - 6</v>
      </c>
      <c r="S2" s="49"/>
      <c r="AH2" s="49"/>
    </row>
    <row r="3" spans="1:34" s="1" customFormat="1">
      <c r="B3" s="1" t="str">
        <f>'Breakdown Summary'!B3</f>
        <v>Cowm Top Lane, Rochdale</v>
      </c>
      <c r="G3" s="560" t="str">
        <f>'Breakdown Summary'!H3</f>
        <v>Breakdown of Abnormal Costs</v>
      </c>
    </row>
    <row r="4" spans="1:34" s="1" customFormat="1" ht="15" customHeight="1">
      <c r="G4" s="560"/>
    </row>
    <row r="5" spans="1:34" s="1" customFormat="1" ht="15" customHeight="1">
      <c r="A5" s="1046" t="s">
        <v>0</v>
      </c>
      <c r="B5" s="1054" t="s">
        <v>1</v>
      </c>
      <c r="C5" s="1055"/>
      <c r="D5" s="1055"/>
      <c r="E5" s="1055"/>
      <c r="F5" s="1056"/>
      <c r="G5" s="1143" t="s">
        <v>6</v>
      </c>
      <c r="H5" s="1046" t="s">
        <v>5</v>
      </c>
      <c r="I5" s="1046" t="s">
        <v>2</v>
      </c>
      <c r="J5" s="1046" t="s">
        <v>3</v>
      </c>
      <c r="L5" s="1124" t="str">
        <f>'Breakdown Summary'!L5:S5</f>
        <v>Phasing Breakdown</v>
      </c>
      <c r="M5" s="1125"/>
      <c r="N5" s="1125"/>
      <c r="O5" s="1125"/>
      <c r="P5" s="1125"/>
      <c r="Q5" s="1125"/>
      <c r="R5" s="1125"/>
      <c r="S5" s="1126"/>
      <c r="U5" s="195"/>
      <c r="V5" s="195"/>
      <c r="W5" s="195"/>
      <c r="X5" s="195"/>
      <c r="Y5" s="195"/>
      <c r="AA5" s="1124" t="s">
        <v>17</v>
      </c>
      <c r="AB5" s="1125"/>
      <c r="AC5" s="1125"/>
      <c r="AD5" s="1125"/>
      <c r="AE5" s="1125"/>
      <c r="AF5" s="1125"/>
      <c r="AG5" s="1125"/>
      <c r="AH5" s="1126"/>
    </row>
    <row r="6" spans="1:34" s="1" customFormat="1" ht="15" customHeight="1">
      <c r="A6" s="1047"/>
      <c r="B6" s="1057"/>
      <c r="C6" s="1058"/>
      <c r="D6" s="1058"/>
      <c r="E6" s="1058"/>
      <c r="F6" s="1059"/>
      <c r="G6" s="1144"/>
      <c r="H6" s="1047"/>
      <c r="I6" s="1047"/>
      <c r="J6" s="1047"/>
      <c r="L6" s="1127" t="str">
        <f>'Breakdown Summary'!L6</f>
        <v>Site 1</v>
      </c>
      <c r="M6" s="1128"/>
      <c r="N6" s="1127">
        <f>'Breakdown Summary'!N6</f>
        <v>0</v>
      </c>
      <c r="O6" s="1128"/>
      <c r="P6" s="1063">
        <f>'Breakdown Summary'!P6:P7</f>
        <v>0</v>
      </c>
      <c r="Q6" s="1063">
        <f>'Breakdown Summary'!Q6:Q7</f>
        <v>0</v>
      </c>
      <c r="R6" s="1063">
        <f>'Breakdown Summary'!R6:R7</f>
        <v>0</v>
      </c>
      <c r="S6" s="1063">
        <f>'Breakdown Summary'!S6:S7</f>
        <v>0</v>
      </c>
      <c r="U6" s="195"/>
      <c r="V6" s="195"/>
      <c r="W6" s="195"/>
      <c r="X6" s="195"/>
      <c r="Y6" s="195"/>
      <c r="AA6" s="1127" t="s">
        <v>15</v>
      </c>
      <c r="AB6" s="1140"/>
      <c r="AC6" s="1140"/>
      <c r="AD6" s="1140"/>
      <c r="AE6" s="1128"/>
      <c r="AF6" s="1063" t="s">
        <v>12</v>
      </c>
      <c r="AG6" s="1063" t="s">
        <v>13</v>
      </c>
      <c r="AH6" s="1063" t="s">
        <v>14</v>
      </c>
    </row>
    <row r="7" spans="1:34">
      <c r="A7" s="1047"/>
      <c r="B7" s="1057"/>
      <c r="C7" s="1058"/>
      <c r="D7" s="1058"/>
      <c r="E7" s="1058"/>
      <c r="F7" s="1059"/>
      <c r="G7" s="1144"/>
      <c r="H7" s="1047"/>
      <c r="I7" s="1047"/>
      <c r="J7" s="1047"/>
      <c r="L7" s="59" t="str">
        <f>'Breakdown Summary'!L7</f>
        <v>Barratt</v>
      </c>
      <c r="M7" s="59" t="str">
        <f>'Breakdown Summary'!M7</f>
        <v>David Wilson</v>
      </c>
      <c r="N7" s="59" t="str">
        <f>'Breakdown Summary'!N7</f>
        <v>Phs</v>
      </c>
      <c r="O7" s="59" t="str">
        <f>'Breakdown Summary'!O7</f>
        <v>Phs</v>
      </c>
      <c r="P7" s="1065"/>
      <c r="Q7" s="1065"/>
      <c r="R7" s="1065"/>
      <c r="S7" s="1065"/>
      <c r="U7" s="195"/>
      <c r="V7" s="195"/>
      <c r="W7" s="195"/>
      <c r="X7" s="195"/>
      <c r="Y7" s="195"/>
      <c r="AA7" s="59">
        <v>1</v>
      </c>
      <c r="AB7" s="59">
        <v>2</v>
      </c>
      <c r="AC7" s="59">
        <v>3</v>
      </c>
      <c r="AD7" s="59">
        <v>4</v>
      </c>
      <c r="AE7" s="59">
        <v>5</v>
      </c>
      <c r="AF7" s="1065"/>
      <c r="AG7" s="1065"/>
      <c r="AH7" s="1065"/>
    </row>
    <row r="8" spans="1:34" s="1" customFormat="1">
      <c r="A8" s="1048"/>
      <c r="B8" s="1060"/>
      <c r="C8" s="1061"/>
      <c r="D8" s="1061"/>
      <c r="E8" s="1061"/>
      <c r="F8" s="1062"/>
      <c r="G8" s="1145"/>
      <c r="H8" s="1048"/>
      <c r="I8" s="1048"/>
      <c r="J8" s="1048"/>
      <c r="L8" s="242">
        <f>'Breakdown Summary'!L13</f>
        <v>19.11</v>
      </c>
      <c r="M8" s="242">
        <f>'Breakdown Summary'!M13</f>
        <v>10.009886307464162</v>
      </c>
      <c r="N8" s="242">
        <f>'Breakdown Summary'!N13</f>
        <v>0</v>
      </c>
      <c r="O8" s="242">
        <f>'Breakdown Summary'!O13</f>
        <v>0</v>
      </c>
      <c r="P8" s="62">
        <f>'Breakdown Summary'!P13</f>
        <v>0</v>
      </c>
      <c r="Q8" s="60"/>
      <c r="R8" s="61"/>
      <c r="S8" s="61"/>
      <c r="U8" s="195"/>
      <c r="V8" s="195"/>
      <c r="W8" s="195"/>
      <c r="X8" s="195"/>
      <c r="Y8" s="195"/>
      <c r="AA8" s="62">
        <v>1</v>
      </c>
      <c r="AB8" s="62">
        <v>0</v>
      </c>
      <c r="AC8" s="62">
        <v>0</v>
      </c>
      <c r="AD8" s="62">
        <v>0</v>
      </c>
      <c r="AE8" s="62">
        <v>0</v>
      </c>
      <c r="AF8" s="60">
        <v>0</v>
      </c>
      <c r="AG8" s="61">
        <v>0</v>
      </c>
      <c r="AH8" s="61">
        <v>0</v>
      </c>
    </row>
    <row r="9" spans="1:34">
      <c r="A9" s="16"/>
      <c r="B9" s="3"/>
      <c r="C9" s="4"/>
      <c r="D9" s="4"/>
      <c r="E9" s="4"/>
      <c r="F9" s="5"/>
      <c r="H9" s="12"/>
      <c r="I9" s="21"/>
      <c r="J9" s="12"/>
      <c r="L9" s="3"/>
      <c r="M9" s="58"/>
      <c r="N9" s="4"/>
      <c r="O9" s="58"/>
      <c r="P9" s="4"/>
      <c r="Q9" s="58"/>
      <c r="R9" s="58"/>
      <c r="S9" s="5"/>
      <c r="U9" s="21"/>
      <c r="V9" s="21"/>
      <c r="W9" s="21"/>
      <c r="X9" s="21"/>
      <c r="Y9" s="21"/>
      <c r="AA9" s="3"/>
      <c r="AB9" s="58"/>
      <c r="AC9" s="4"/>
      <c r="AD9" s="58"/>
      <c r="AE9" s="4"/>
      <c r="AF9" s="58"/>
      <c r="AG9" s="58"/>
      <c r="AH9" s="5"/>
    </row>
    <row r="10" spans="1:34" ht="19">
      <c r="A10" s="19">
        <v>5</v>
      </c>
      <c r="B10" s="74" t="s">
        <v>235</v>
      </c>
      <c r="F10" s="7"/>
      <c r="H10" s="13"/>
      <c r="I10" s="21"/>
      <c r="J10" s="13"/>
      <c r="L10" s="6"/>
      <c r="M10" s="2"/>
      <c r="O10" s="2"/>
      <c r="Q10" s="2"/>
      <c r="R10" s="2"/>
      <c r="S10" s="7"/>
      <c r="U10" s="21"/>
      <c r="V10" s="21"/>
      <c r="W10" s="21"/>
      <c r="X10" s="21"/>
      <c r="Y10" s="21"/>
      <c r="AA10" s="6"/>
      <c r="AB10" s="2"/>
      <c r="AD10" s="2"/>
      <c r="AF10" s="2"/>
      <c r="AG10" s="2"/>
      <c r="AH10" s="7"/>
    </row>
    <row r="11" spans="1:34" ht="15" customHeight="1">
      <c r="A11" s="17"/>
      <c r="B11" s="52"/>
      <c r="C11" s="30"/>
      <c r="D11" s="30"/>
      <c r="E11" s="30"/>
      <c r="F11" s="31"/>
      <c r="G11" s="561"/>
      <c r="H11" s="206"/>
      <c r="I11" s="67"/>
      <c r="J11" s="206"/>
      <c r="L11" s="6"/>
      <c r="M11" s="2"/>
      <c r="O11" s="2"/>
      <c r="Q11" s="2"/>
      <c r="R11" s="2"/>
      <c r="S11" s="7"/>
      <c r="U11" s="67"/>
      <c r="V11" s="67"/>
      <c r="W11" s="67"/>
      <c r="X11" s="67"/>
      <c r="Y11" s="67"/>
      <c r="AA11" s="6"/>
      <c r="AB11" s="2"/>
      <c r="AD11" s="2"/>
      <c r="AF11" s="2"/>
      <c r="AG11" s="2"/>
      <c r="AH11" s="7"/>
    </row>
    <row r="12" spans="1:34">
      <c r="A12" s="17"/>
      <c r="B12" s="57"/>
      <c r="C12" s="29" t="s">
        <v>676</v>
      </c>
      <c r="D12" s="29"/>
      <c r="E12" s="55"/>
      <c r="F12" s="56"/>
      <c r="G12" s="561">
        <v>1</v>
      </c>
      <c r="H12" s="13" t="s">
        <v>490</v>
      </c>
      <c r="I12" s="67">
        <v>7500</v>
      </c>
      <c r="J12" s="206">
        <f>G12*I12</f>
        <v>7500</v>
      </c>
      <c r="L12" s="64">
        <f>J12/(L$8+M$8)*L$8</f>
        <v>4921.8942164366272</v>
      </c>
      <c r="M12" s="649">
        <f>J12-L12</f>
        <v>2578.1057835633728</v>
      </c>
      <c r="O12" s="2"/>
      <c r="Q12" s="2"/>
      <c r="R12" s="2"/>
      <c r="S12" s="7"/>
      <c r="U12" s="67"/>
      <c r="V12" s="67"/>
      <c r="W12" s="67"/>
      <c r="X12" s="67"/>
      <c r="Y12" s="67"/>
      <c r="AA12" s="6"/>
      <c r="AB12" s="2"/>
      <c r="AD12" s="2"/>
      <c r="AF12" s="2"/>
      <c r="AG12" s="2"/>
      <c r="AH12" s="7"/>
    </row>
    <row r="13" spans="1:34">
      <c r="A13" s="17"/>
      <c r="B13" s="55"/>
      <c r="C13" s="29"/>
      <c r="D13" s="29"/>
      <c r="E13" s="55"/>
      <c r="F13" s="56"/>
      <c r="G13" s="561"/>
      <c r="H13" s="13"/>
      <c r="I13" s="67"/>
      <c r="J13" s="206"/>
      <c r="L13" s="64">
        <f t="shared" ref="L13:L49" si="0">J13/(L$8+M$8)*L$8</f>
        <v>0</v>
      </c>
      <c r="M13" s="649">
        <f t="shared" ref="M13:M49" si="1">J13-L13</f>
        <v>0</v>
      </c>
      <c r="O13" s="2"/>
      <c r="Q13" s="2"/>
      <c r="R13" s="2"/>
      <c r="S13" s="7"/>
      <c r="U13" s="67"/>
      <c r="V13" s="67"/>
      <c r="W13" s="67"/>
      <c r="X13" s="67"/>
      <c r="Y13" s="67"/>
      <c r="AA13" s="6"/>
      <c r="AB13" s="2"/>
      <c r="AD13" s="2"/>
      <c r="AF13" s="2"/>
      <c r="AG13" s="2"/>
      <c r="AH13" s="7"/>
    </row>
    <row r="14" spans="1:34">
      <c r="A14" s="17"/>
      <c r="B14" s="55"/>
      <c r="C14" s="728" t="s">
        <v>677</v>
      </c>
      <c r="D14" s="29"/>
      <c r="E14" s="55"/>
      <c r="F14" s="56"/>
      <c r="G14" s="561">
        <v>1</v>
      </c>
      <c r="H14" s="13" t="s">
        <v>490</v>
      </c>
      <c r="I14" s="67">
        <v>4250</v>
      </c>
      <c r="J14" s="206">
        <f t="shared" ref="J14:J31" si="2">G14*I14</f>
        <v>4250</v>
      </c>
      <c r="L14" s="64">
        <f t="shared" si="0"/>
        <v>2789.0733893140887</v>
      </c>
      <c r="M14" s="649">
        <f t="shared" si="1"/>
        <v>1460.9266106859113</v>
      </c>
      <c r="O14" s="2"/>
      <c r="Q14" s="2"/>
      <c r="R14" s="2"/>
      <c r="S14" s="7"/>
      <c r="U14" s="67"/>
      <c r="V14" s="67"/>
      <c r="W14" s="67"/>
      <c r="X14" s="67"/>
      <c r="Y14" s="67"/>
      <c r="AA14" s="6"/>
      <c r="AB14" s="2"/>
      <c r="AD14" s="2"/>
      <c r="AF14" s="2"/>
      <c r="AG14" s="2"/>
      <c r="AH14" s="7"/>
    </row>
    <row r="15" spans="1:34">
      <c r="A15" s="17"/>
      <c r="B15" s="55"/>
      <c r="C15" s="29"/>
      <c r="D15" s="29"/>
      <c r="E15" s="55"/>
      <c r="F15" s="56"/>
      <c r="G15" s="561"/>
      <c r="H15" s="13"/>
      <c r="I15" s="67"/>
      <c r="J15" s="206"/>
      <c r="L15" s="64">
        <f t="shared" si="0"/>
        <v>0</v>
      </c>
      <c r="M15" s="649">
        <f t="shared" si="1"/>
        <v>0</v>
      </c>
      <c r="O15" s="2"/>
      <c r="Q15" s="2"/>
      <c r="R15" s="2"/>
      <c r="S15" s="7"/>
      <c r="U15" s="67"/>
      <c r="V15" s="67"/>
      <c r="W15" s="67"/>
      <c r="X15" s="67"/>
      <c r="Y15" s="67"/>
      <c r="AA15" s="6"/>
      <c r="AB15" s="2"/>
      <c r="AD15" s="2"/>
      <c r="AF15" s="2"/>
      <c r="AG15" s="2"/>
      <c r="AH15" s="7"/>
    </row>
    <row r="16" spans="1:34" ht="29" customHeight="1">
      <c r="A16" s="17"/>
      <c r="B16" s="55"/>
      <c r="C16" s="1141" t="s">
        <v>678</v>
      </c>
      <c r="D16" s="1141"/>
      <c r="E16" s="1141"/>
      <c r="F16" s="1142"/>
      <c r="G16" s="561">
        <v>1</v>
      </c>
      <c r="H16" s="13" t="s">
        <v>490</v>
      </c>
      <c r="I16" s="67">
        <v>15500</v>
      </c>
      <c r="J16" s="206">
        <f t="shared" si="2"/>
        <v>15500</v>
      </c>
      <c r="L16" s="64">
        <f t="shared" si="0"/>
        <v>10171.91471396903</v>
      </c>
      <c r="M16" s="649">
        <f t="shared" si="1"/>
        <v>5328.0852860309697</v>
      </c>
      <c r="O16" s="2"/>
      <c r="Q16" s="2"/>
      <c r="R16" s="2"/>
      <c r="S16" s="7"/>
      <c r="U16" s="67"/>
      <c r="V16" s="67"/>
      <c r="W16" s="67"/>
      <c r="X16" s="67"/>
      <c r="Y16" s="67"/>
      <c r="AA16" s="6"/>
      <c r="AB16" s="2"/>
      <c r="AD16" s="2"/>
      <c r="AF16" s="2"/>
      <c r="AG16" s="2"/>
      <c r="AH16" s="7"/>
    </row>
    <row r="17" spans="1:34">
      <c r="A17" s="17"/>
      <c r="B17" s="55"/>
      <c r="C17" s="29"/>
      <c r="D17" s="29"/>
      <c r="E17" s="55"/>
      <c r="F17" s="56"/>
      <c r="G17" s="561"/>
      <c r="H17" s="13"/>
      <c r="I17" s="67"/>
      <c r="J17" s="206"/>
      <c r="L17" s="64">
        <f t="shared" si="0"/>
        <v>0</v>
      </c>
      <c r="M17" s="649">
        <f t="shared" si="1"/>
        <v>0</v>
      </c>
      <c r="O17" s="2"/>
      <c r="Q17" s="2"/>
      <c r="R17" s="2"/>
      <c r="S17" s="7"/>
      <c r="U17" s="67"/>
      <c r="V17" s="67"/>
      <c r="W17" s="67"/>
      <c r="X17" s="67"/>
      <c r="Y17" s="67"/>
      <c r="AA17" s="6"/>
      <c r="AB17" s="2"/>
      <c r="AD17" s="2"/>
      <c r="AF17" s="2"/>
      <c r="AG17" s="2"/>
      <c r="AH17" s="7"/>
    </row>
    <row r="18" spans="1:34">
      <c r="A18" s="17"/>
      <c r="B18" s="55"/>
      <c r="C18" s="1141" t="s">
        <v>679</v>
      </c>
      <c r="D18" s="1141"/>
      <c r="E18" s="1141"/>
      <c r="F18" s="1142"/>
      <c r="G18" s="561">
        <v>1</v>
      </c>
      <c r="H18" s="13" t="s">
        <v>490</v>
      </c>
      <c r="I18" s="67">
        <v>25000</v>
      </c>
      <c r="J18" s="206">
        <f t="shared" si="2"/>
        <v>25000</v>
      </c>
      <c r="L18" s="64">
        <f t="shared" si="0"/>
        <v>16406.314054788756</v>
      </c>
      <c r="M18" s="649">
        <f t="shared" si="1"/>
        <v>8593.685945211244</v>
      </c>
      <c r="O18" s="2"/>
      <c r="Q18" s="2"/>
      <c r="R18" s="2"/>
      <c r="S18" s="7"/>
      <c r="U18" s="67"/>
      <c r="V18" s="67"/>
      <c r="W18" s="67"/>
      <c r="X18" s="67"/>
      <c r="Y18" s="67"/>
      <c r="AA18" s="6"/>
      <c r="AB18" s="2"/>
      <c r="AD18" s="2"/>
      <c r="AF18" s="2"/>
      <c r="AG18" s="2"/>
      <c r="AH18" s="7"/>
    </row>
    <row r="19" spans="1:34">
      <c r="A19" s="17"/>
      <c r="B19" s="55"/>
      <c r="C19" s="1141"/>
      <c r="D19" s="1141"/>
      <c r="E19" s="1141"/>
      <c r="F19" s="1142"/>
      <c r="G19" s="561"/>
      <c r="H19" s="13"/>
      <c r="I19" s="67"/>
      <c r="J19" s="206"/>
      <c r="L19" s="64">
        <f t="shared" si="0"/>
        <v>0</v>
      </c>
      <c r="M19" s="649">
        <f t="shared" si="1"/>
        <v>0</v>
      </c>
      <c r="O19" s="2"/>
      <c r="Q19" s="2"/>
      <c r="R19" s="2"/>
      <c r="S19" s="7"/>
      <c r="U19" s="67"/>
      <c r="V19" s="67"/>
      <c r="W19" s="67"/>
      <c r="X19" s="67"/>
      <c r="Y19" s="67"/>
      <c r="AA19" s="6"/>
      <c r="AB19" s="2"/>
      <c r="AD19" s="2"/>
      <c r="AF19" s="2"/>
      <c r="AG19" s="2"/>
      <c r="AH19" s="7"/>
    </row>
    <row r="20" spans="1:34">
      <c r="A20" s="17"/>
      <c r="B20" s="55"/>
      <c r="C20" s="729"/>
      <c r="D20" s="729"/>
      <c r="E20" s="729"/>
      <c r="F20" s="730"/>
      <c r="G20" s="561"/>
      <c r="H20" s="13"/>
      <c r="I20" s="67"/>
      <c r="J20" s="206">
        <f t="shared" si="2"/>
        <v>0</v>
      </c>
      <c r="L20" s="64">
        <f t="shared" si="0"/>
        <v>0</v>
      </c>
      <c r="M20" s="649">
        <f t="shared" si="1"/>
        <v>0</v>
      </c>
      <c r="O20" s="2"/>
      <c r="Q20" s="2"/>
      <c r="R20" s="2"/>
      <c r="S20" s="7"/>
      <c r="U20" s="67"/>
      <c r="V20" s="67"/>
      <c r="W20" s="67"/>
      <c r="X20" s="67"/>
      <c r="Y20" s="67"/>
      <c r="AA20" s="6"/>
      <c r="AB20" s="2"/>
      <c r="AD20" s="2"/>
      <c r="AF20" s="2"/>
      <c r="AG20" s="2"/>
      <c r="AH20" s="7"/>
    </row>
    <row r="21" spans="1:34">
      <c r="A21" s="17"/>
      <c r="B21" s="55"/>
      <c r="C21" s="731" t="s">
        <v>683</v>
      </c>
      <c r="D21" s="729"/>
      <c r="E21" s="729"/>
      <c r="F21" s="730"/>
      <c r="G21" s="561">
        <v>48</v>
      </c>
      <c r="H21" s="13" t="s">
        <v>684</v>
      </c>
      <c r="I21" s="67">
        <v>8500</v>
      </c>
      <c r="J21" s="206">
        <f t="shared" si="2"/>
        <v>408000</v>
      </c>
      <c r="L21" s="64">
        <f t="shared" si="0"/>
        <v>267751.04537415248</v>
      </c>
      <c r="M21" s="649">
        <f t="shared" si="1"/>
        <v>140248.95462584752</v>
      </c>
      <c r="O21" s="2"/>
      <c r="Q21" s="2"/>
      <c r="R21" s="2"/>
      <c r="S21" s="7"/>
      <c r="U21" s="67"/>
      <c r="V21" s="67"/>
      <c r="W21" s="67"/>
      <c r="X21" s="67"/>
      <c r="Y21" s="67"/>
      <c r="AA21" s="6"/>
      <c r="AB21" s="2"/>
      <c r="AD21" s="2"/>
      <c r="AF21" s="2"/>
      <c r="AG21" s="2"/>
      <c r="AH21" s="7"/>
    </row>
    <row r="22" spans="1:34">
      <c r="A22" s="17"/>
      <c r="B22" s="55"/>
      <c r="C22" s="729"/>
      <c r="D22" s="729"/>
      <c r="E22" s="729"/>
      <c r="F22" s="730"/>
      <c r="G22" s="561"/>
      <c r="H22" s="13"/>
      <c r="I22" s="67"/>
      <c r="J22" s="206">
        <f t="shared" si="2"/>
        <v>0</v>
      </c>
      <c r="L22" s="64">
        <f t="shared" si="0"/>
        <v>0</v>
      </c>
      <c r="M22" s="649">
        <f t="shared" si="1"/>
        <v>0</v>
      </c>
      <c r="O22" s="2"/>
      <c r="Q22" s="2"/>
      <c r="R22" s="2"/>
      <c r="S22" s="7"/>
      <c r="U22" s="67"/>
      <c r="V22" s="67"/>
      <c r="W22" s="67"/>
      <c r="X22" s="67"/>
      <c r="Y22" s="67"/>
      <c r="AA22" s="6"/>
      <c r="AB22" s="2"/>
      <c r="AD22" s="2"/>
      <c r="AF22" s="2"/>
      <c r="AG22" s="2"/>
      <c r="AH22" s="7"/>
    </row>
    <row r="23" spans="1:34">
      <c r="A23" s="17"/>
      <c r="B23" s="55"/>
      <c r="C23" s="728" t="s">
        <v>681</v>
      </c>
      <c r="D23" s="729"/>
      <c r="E23" s="729"/>
      <c r="F23" s="730"/>
      <c r="G23" s="561">
        <v>15</v>
      </c>
      <c r="H23" s="13" t="s">
        <v>684</v>
      </c>
      <c r="I23" s="67">
        <v>1250</v>
      </c>
      <c r="J23" s="206">
        <f t="shared" si="2"/>
        <v>18750</v>
      </c>
      <c r="L23" s="64">
        <f t="shared" si="0"/>
        <v>12304.735541091566</v>
      </c>
      <c r="M23" s="649">
        <f t="shared" si="1"/>
        <v>6445.2644589084339</v>
      </c>
      <c r="O23" s="2"/>
      <c r="Q23" s="2"/>
      <c r="R23" s="2"/>
      <c r="S23" s="7"/>
      <c r="U23" s="67"/>
      <c r="V23" s="67"/>
      <c r="W23" s="67"/>
      <c r="X23" s="67"/>
      <c r="Y23" s="67"/>
      <c r="AA23" s="6"/>
      <c r="AB23" s="2"/>
      <c r="AD23" s="2"/>
      <c r="AF23" s="2"/>
      <c r="AG23" s="2"/>
      <c r="AH23" s="7"/>
    </row>
    <row r="24" spans="1:34">
      <c r="A24" s="17"/>
      <c r="B24" s="55"/>
      <c r="D24" s="29"/>
      <c r="E24" s="55"/>
      <c r="F24" s="56"/>
      <c r="G24" s="561"/>
      <c r="H24" s="13"/>
      <c r="I24" s="67"/>
      <c r="J24" s="206">
        <f t="shared" si="2"/>
        <v>0</v>
      </c>
      <c r="L24" s="64">
        <f t="shared" si="0"/>
        <v>0</v>
      </c>
      <c r="M24" s="649">
        <f t="shared" si="1"/>
        <v>0</v>
      </c>
      <c r="O24" s="2"/>
      <c r="Q24" s="2"/>
      <c r="R24" s="2"/>
      <c r="S24" s="7"/>
      <c r="U24" s="67"/>
      <c r="V24" s="67"/>
      <c r="W24" s="67"/>
      <c r="X24" s="67"/>
      <c r="Y24" s="67"/>
      <c r="AA24" s="6"/>
      <c r="AB24" s="2"/>
      <c r="AD24" s="2"/>
      <c r="AF24" s="2"/>
      <c r="AG24" s="2"/>
      <c r="AH24" s="7"/>
    </row>
    <row r="25" spans="1:34">
      <c r="A25" s="17"/>
      <c r="B25" s="55"/>
      <c r="C25" s="728" t="s">
        <v>682</v>
      </c>
      <c r="D25" s="29"/>
      <c r="E25" s="55"/>
      <c r="F25" s="56"/>
      <c r="G25" s="561">
        <f>G23</f>
        <v>15</v>
      </c>
      <c r="H25" s="13" t="s">
        <v>684</v>
      </c>
      <c r="I25" s="67">
        <v>2500</v>
      </c>
      <c r="J25" s="206">
        <f t="shared" si="2"/>
        <v>37500</v>
      </c>
      <c r="L25" s="64">
        <f t="shared" si="0"/>
        <v>24609.471082183132</v>
      </c>
      <c r="M25" s="649">
        <f t="shared" si="1"/>
        <v>12890.528917816868</v>
      </c>
      <c r="O25" s="2"/>
      <c r="Q25" s="2"/>
      <c r="R25" s="2"/>
      <c r="S25" s="7"/>
      <c r="U25" s="67"/>
      <c r="V25" s="67"/>
      <c r="W25" s="67"/>
      <c r="X25" s="67"/>
      <c r="Y25" s="67"/>
      <c r="AA25" s="6"/>
      <c r="AB25" s="2"/>
      <c r="AD25" s="2"/>
      <c r="AF25" s="2"/>
      <c r="AG25" s="2"/>
      <c r="AH25" s="7"/>
    </row>
    <row r="26" spans="1:34">
      <c r="A26" s="17"/>
      <c r="B26" s="55"/>
      <c r="D26" s="29"/>
      <c r="E26" s="55"/>
      <c r="F26" s="56"/>
      <c r="G26" s="561"/>
      <c r="H26" s="13"/>
      <c r="I26" s="67"/>
      <c r="J26" s="206">
        <f t="shared" si="2"/>
        <v>0</v>
      </c>
      <c r="L26" s="64">
        <f t="shared" si="0"/>
        <v>0</v>
      </c>
      <c r="M26" s="649">
        <f t="shared" si="1"/>
        <v>0</v>
      </c>
      <c r="O26" s="2"/>
      <c r="Q26" s="2"/>
      <c r="R26" s="2"/>
      <c r="S26" s="7"/>
      <c r="U26" s="67"/>
      <c r="V26" s="67"/>
      <c r="W26" s="67"/>
      <c r="X26" s="67"/>
      <c r="Y26" s="67"/>
      <c r="AA26" s="6"/>
      <c r="AB26" s="2"/>
      <c r="AD26" s="2"/>
      <c r="AF26" s="2"/>
      <c r="AG26" s="2"/>
      <c r="AH26" s="7"/>
    </row>
    <row r="27" spans="1:34">
      <c r="A27" s="17"/>
      <c r="B27" s="55"/>
      <c r="C27" s="728" t="s">
        <v>685</v>
      </c>
      <c r="D27" s="29"/>
      <c r="E27" s="55"/>
      <c r="F27" s="56"/>
      <c r="G27" s="561">
        <f>G21</f>
        <v>48</v>
      </c>
      <c r="H27" s="13" t="s">
        <v>684</v>
      </c>
      <c r="I27" s="67">
        <v>1250</v>
      </c>
      <c r="J27" s="206">
        <f>G27*I27</f>
        <v>60000</v>
      </c>
      <c r="L27" s="64">
        <f t="shared" si="0"/>
        <v>39375.153731493017</v>
      </c>
      <c r="M27" s="649">
        <f t="shared" si="1"/>
        <v>20624.846268506983</v>
      </c>
      <c r="O27" s="2"/>
      <c r="Q27" s="2"/>
      <c r="R27" s="2"/>
      <c r="S27" s="7"/>
      <c r="U27" s="67"/>
      <c r="V27" s="67"/>
      <c r="W27" s="67"/>
      <c r="X27" s="67"/>
      <c r="Y27" s="67"/>
      <c r="AA27" s="6"/>
      <c r="AB27" s="2"/>
      <c r="AD27" s="2"/>
      <c r="AF27" s="2"/>
      <c r="AG27" s="2"/>
      <c r="AH27" s="7"/>
    </row>
    <row r="28" spans="1:34">
      <c r="A28" s="17"/>
      <c r="B28" s="55"/>
      <c r="D28" s="29"/>
      <c r="E28" s="55"/>
      <c r="F28" s="56"/>
      <c r="G28" s="561"/>
      <c r="H28" s="13"/>
      <c r="I28" s="67"/>
      <c r="J28" s="206">
        <f>G28*I28</f>
        <v>0</v>
      </c>
      <c r="L28" s="64">
        <f t="shared" si="0"/>
        <v>0</v>
      </c>
      <c r="M28" s="649">
        <f t="shared" si="1"/>
        <v>0</v>
      </c>
      <c r="O28" s="2"/>
      <c r="Q28" s="2"/>
      <c r="R28" s="2"/>
      <c r="S28" s="7"/>
      <c r="U28" s="67"/>
      <c r="V28" s="67"/>
      <c r="W28" s="67"/>
      <c r="X28" s="67"/>
      <c r="Y28" s="67"/>
      <c r="AA28" s="6"/>
      <c r="AB28" s="2"/>
      <c r="AD28" s="2"/>
      <c r="AF28" s="2"/>
      <c r="AG28" s="2"/>
      <c r="AH28" s="7"/>
    </row>
    <row r="29" spans="1:34">
      <c r="A29" s="17"/>
      <c r="B29" s="55"/>
      <c r="C29" s="728" t="s">
        <v>705</v>
      </c>
      <c r="D29" s="29"/>
      <c r="E29" s="55"/>
      <c r="F29" s="56"/>
      <c r="G29" s="561">
        <v>1</v>
      </c>
      <c r="H29" s="13" t="s">
        <v>490</v>
      </c>
      <c r="I29" s="67">
        <v>40000</v>
      </c>
      <c r="J29" s="206">
        <f>G29*I29</f>
        <v>40000</v>
      </c>
      <c r="L29" s="64">
        <f t="shared" si="0"/>
        <v>26250.10248766201</v>
      </c>
      <c r="M29" s="649">
        <f t="shared" si="1"/>
        <v>13749.89751233799</v>
      </c>
      <c r="O29" s="2"/>
      <c r="Q29" s="2"/>
      <c r="R29" s="2"/>
      <c r="S29" s="7"/>
      <c r="U29" s="67"/>
      <c r="V29" s="67"/>
      <c r="W29" s="67"/>
      <c r="X29" s="67"/>
      <c r="Y29" s="67"/>
      <c r="AA29" s="6"/>
      <c r="AB29" s="2"/>
      <c r="AD29" s="2"/>
      <c r="AF29" s="2"/>
      <c r="AG29" s="2"/>
      <c r="AH29" s="7"/>
    </row>
    <row r="30" spans="1:34">
      <c r="A30" s="17"/>
      <c r="B30" s="55"/>
      <c r="C30" s="29"/>
      <c r="D30" s="29"/>
      <c r="E30" s="55"/>
      <c r="F30" s="56"/>
      <c r="G30" s="561"/>
      <c r="H30" s="13"/>
      <c r="I30" s="67"/>
      <c r="J30" s="206"/>
      <c r="L30" s="64">
        <f t="shared" si="0"/>
        <v>0</v>
      </c>
      <c r="M30" s="649">
        <f t="shared" si="1"/>
        <v>0</v>
      </c>
      <c r="O30" s="2"/>
      <c r="Q30" s="2"/>
      <c r="R30" s="2"/>
      <c r="S30" s="7"/>
      <c r="U30" s="67"/>
      <c r="V30" s="67"/>
      <c r="W30" s="67"/>
      <c r="X30" s="67"/>
      <c r="Y30" s="67"/>
      <c r="AA30" s="6"/>
      <c r="AB30" s="2"/>
      <c r="AD30" s="2"/>
      <c r="AF30" s="2"/>
      <c r="AG30" s="2"/>
      <c r="AH30" s="7"/>
    </row>
    <row r="31" spans="1:34">
      <c r="A31" s="17"/>
      <c r="B31" s="55"/>
      <c r="C31" s="728" t="s">
        <v>689</v>
      </c>
      <c r="D31" s="29"/>
      <c r="E31" s="55"/>
      <c r="F31" s="56"/>
      <c r="G31" s="561">
        <v>1</v>
      </c>
      <c r="H31" s="13" t="s">
        <v>490</v>
      </c>
      <c r="I31" s="67">
        <v>8500</v>
      </c>
      <c r="J31" s="206">
        <f t="shared" si="2"/>
        <v>8500</v>
      </c>
      <c r="L31" s="64">
        <f t="shared" si="0"/>
        <v>5578.1467786281773</v>
      </c>
      <c r="M31" s="649">
        <f t="shared" si="1"/>
        <v>2921.8532213718227</v>
      </c>
      <c r="O31" s="2"/>
      <c r="Q31" s="2"/>
      <c r="R31" s="2"/>
      <c r="S31" s="7"/>
      <c r="U31" s="67"/>
      <c r="V31" s="67"/>
      <c r="W31" s="67"/>
      <c r="X31" s="67"/>
      <c r="Y31" s="67"/>
      <c r="AA31" s="6"/>
      <c r="AB31" s="2"/>
      <c r="AD31" s="2"/>
      <c r="AF31" s="2"/>
      <c r="AG31" s="2"/>
      <c r="AH31" s="7"/>
    </row>
    <row r="32" spans="1:34">
      <c r="A32" s="17"/>
      <c r="B32" s="55"/>
      <c r="C32" s="29"/>
      <c r="D32" s="29"/>
      <c r="E32" s="55"/>
      <c r="F32" s="56"/>
      <c r="G32" s="561"/>
      <c r="H32" s="13"/>
      <c r="I32" s="67"/>
      <c r="J32" s="206"/>
      <c r="L32" s="64">
        <f t="shared" si="0"/>
        <v>0</v>
      </c>
      <c r="M32" s="649">
        <f t="shared" si="1"/>
        <v>0</v>
      </c>
      <c r="O32" s="2"/>
      <c r="Q32" s="2"/>
      <c r="R32" s="2"/>
      <c r="S32" s="7"/>
      <c r="U32" s="67"/>
      <c r="V32" s="67"/>
      <c r="W32" s="67"/>
      <c r="X32" s="67"/>
      <c r="Y32" s="67"/>
      <c r="AA32" s="6"/>
      <c r="AB32" s="2"/>
      <c r="AD32" s="2"/>
      <c r="AF32" s="2"/>
      <c r="AG32" s="2"/>
      <c r="AH32" s="7"/>
    </row>
    <row r="33" spans="1:34">
      <c r="A33" s="17"/>
      <c r="B33" s="29"/>
      <c r="C33" s="29" t="s">
        <v>493</v>
      </c>
      <c r="D33" s="29"/>
      <c r="E33" s="55"/>
      <c r="F33" s="56"/>
      <c r="G33" s="559">
        <v>169846</v>
      </c>
      <c r="H33" s="13" t="s">
        <v>18</v>
      </c>
      <c r="I33" s="67">
        <v>5.5</v>
      </c>
      <c r="J33" s="206">
        <f>G33*I33</f>
        <v>934153</v>
      </c>
      <c r="L33" s="64">
        <f t="shared" si="0"/>
        <v>613040.29972892324</v>
      </c>
      <c r="M33" s="649">
        <f t="shared" si="1"/>
        <v>321112.70027107676</v>
      </c>
      <c r="O33" s="2"/>
      <c r="Q33" s="2"/>
      <c r="R33" s="2"/>
      <c r="S33" s="7"/>
      <c r="U33" s="67"/>
      <c r="V33" s="67"/>
      <c r="W33" s="67"/>
      <c r="X33" s="67"/>
      <c r="Y33" s="67"/>
      <c r="AA33" s="6"/>
      <c r="AB33" s="2"/>
      <c r="AD33" s="2"/>
      <c r="AF33" s="2"/>
      <c r="AG33" s="2"/>
      <c r="AH33" s="7"/>
    </row>
    <row r="34" spans="1:34">
      <c r="A34" s="17"/>
      <c r="B34" s="29"/>
      <c r="C34" s="29" t="s">
        <v>493</v>
      </c>
      <c r="D34" s="29"/>
      <c r="E34" s="55"/>
      <c r="F34" s="56"/>
      <c r="G34" s="559">
        <v>0</v>
      </c>
      <c r="H34" s="13" t="s">
        <v>18</v>
      </c>
      <c r="I34" s="67">
        <f>I33</f>
        <v>5.5</v>
      </c>
      <c r="J34" s="206">
        <f>G34*I34</f>
        <v>0</v>
      </c>
      <c r="L34" s="64">
        <f t="shared" si="0"/>
        <v>0</v>
      </c>
      <c r="M34" s="649">
        <f t="shared" si="1"/>
        <v>0</v>
      </c>
      <c r="O34" s="2"/>
      <c r="Q34" s="2"/>
      <c r="R34" s="2"/>
      <c r="S34" s="7"/>
      <c r="U34" s="67"/>
      <c r="V34" s="67"/>
      <c r="W34" s="67"/>
      <c r="X34" s="67"/>
      <c r="Y34" s="67"/>
      <c r="AA34" s="6"/>
      <c r="AB34" s="2"/>
      <c r="AD34" s="2"/>
      <c r="AF34" s="2"/>
      <c r="AG34" s="2"/>
      <c r="AH34" s="7"/>
    </row>
    <row r="35" spans="1:34">
      <c r="A35" s="17"/>
      <c r="B35" s="57"/>
      <c r="C35" s="29"/>
      <c r="D35" s="29"/>
      <c r="E35" s="55"/>
      <c r="F35" s="56"/>
      <c r="G35" s="561"/>
      <c r="H35" s="206"/>
      <c r="I35" s="67"/>
      <c r="J35" s="206"/>
      <c r="L35" s="64">
        <f t="shared" si="0"/>
        <v>0</v>
      </c>
      <c r="M35" s="649">
        <f t="shared" si="1"/>
        <v>0</v>
      </c>
      <c r="O35" s="2"/>
      <c r="Q35" s="2"/>
      <c r="R35" s="2"/>
      <c r="S35" s="7"/>
      <c r="U35" s="67"/>
      <c r="V35" s="67"/>
      <c r="W35" s="67"/>
      <c r="X35" s="67"/>
      <c r="Y35" s="67"/>
      <c r="AA35" s="6"/>
      <c r="AB35" s="2"/>
      <c r="AD35" s="2"/>
      <c r="AF35" s="2"/>
      <c r="AG35" s="2"/>
      <c r="AH35" s="7"/>
    </row>
    <row r="36" spans="1:34">
      <c r="A36" s="17"/>
      <c r="B36" s="29"/>
      <c r="C36" s="29" t="s">
        <v>494</v>
      </c>
      <c r="D36" s="29"/>
      <c r="E36" s="55"/>
      <c r="F36" s="56"/>
      <c r="G36" s="561">
        <v>205533</v>
      </c>
      <c r="H36" s="13" t="s">
        <v>18</v>
      </c>
      <c r="I36" s="67">
        <v>8.5</v>
      </c>
      <c r="J36" s="206">
        <f>G36*I36</f>
        <v>1747030.5</v>
      </c>
      <c r="L36" s="64">
        <f t="shared" si="0"/>
        <v>1146493.2418517852</v>
      </c>
      <c r="M36" s="649">
        <f t="shared" si="1"/>
        <v>600537.25814821478</v>
      </c>
      <c r="O36" s="2"/>
      <c r="Q36" s="2"/>
      <c r="R36" s="2"/>
      <c r="S36" s="7"/>
      <c r="U36" s="67"/>
      <c r="V36" s="67"/>
      <c r="W36" s="67"/>
      <c r="X36" s="67"/>
      <c r="Y36" s="67"/>
      <c r="AA36" s="6"/>
      <c r="AB36" s="2"/>
      <c r="AD36" s="2"/>
      <c r="AF36" s="2"/>
      <c r="AG36" s="2"/>
      <c r="AH36" s="7"/>
    </row>
    <row r="37" spans="1:34">
      <c r="A37" s="17"/>
      <c r="B37" s="29"/>
      <c r="C37" s="29" t="s">
        <v>494</v>
      </c>
      <c r="D37" s="29"/>
      <c r="E37" s="55"/>
      <c r="F37" s="56"/>
      <c r="G37" s="561">
        <f>G34*0.5</f>
        <v>0</v>
      </c>
      <c r="H37" s="13" t="s">
        <v>18</v>
      </c>
      <c r="I37" s="67">
        <f>I36</f>
        <v>8.5</v>
      </c>
      <c r="J37" s="206">
        <f>G37*I37</f>
        <v>0</v>
      </c>
      <c r="L37" s="64">
        <f t="shared" si="0"/>
        <v>0</v>
      </c>
      <c r="M37" s="649">
        <f t="shared" si="1"/>
        <v>0</v>
      </c>
      <c r="O37" s="2"/>
      <c r="Q37" s="2"/>
      <c r="R37" s="2"/>
      <c r="S37" s="7"/>
      <c r="U37" s="67"/>
      <c r="V37" s="67"/>
      <c r="W37" s="67"/>
      <c r="X37" s="67"/>
      <c r="Y37" s="67"/>
      <c r="AA37" s="6"/>
      <c r="AB37" s="2"/>
      <c r="AD37" s="2"/>
      <c r="AF37" s="2"/>
      <c r="AG37" s="2"/>
      <c r="AH37" s="7"/>
    </row>
    <row r="38" spans="1:34">
      <c r="A38" s="17"/>
      <c r="B38" s="57"/>
      <c r="C38" s="29"/>
      <c r="D38" s="29"/>
      <c r="E38" s="55"/>
      <c r="F38" s="56"/>
      <c r="G38" s="561"/>
      <c r="H38" s="206"/>
      <c r="I38" s="67"/>
      <c r="J38" s="206"/>
      <c r="L38" s="64">
        <f t="shared" si="0"/>
        <v>0</v>
      </c>
      <c r="M38" s="649">
        <f t="shared" si="1"/>
        <v>0</v>
      </c>
      <c r="O38" s="2"/>
      <c r="Q38" s="2"/>
      <c r="R38" s="2"/>
      <c r="S38" s="7"/>
      <c r="U38" s="67"/>
      <c r="V38" s="67"/>
      <c r="W38" s="67"/>
      <c r="X38" s="67"/>
      <c r="Y38" s="67"/>
      <c r="AA38" s="6"/>
      <c r="AB38" s="2"/>
      <c r="AD38" s="2"/>
      <c r="AF38" s="2"/>
      <c r="AG38" s="2"/>
      <c r="AH38" s="7"/>
    </row>
    <row r="39" spans="1:34">
      <c r="A39" s="17"/>
      <c r="B39" s="57"/>
      <c r="C39" s="29" t="s">
        <v>680</v>
      </c>
      <c r="E39" s="55"/>
      <c r="F39" s="56"/>
      <c r="G39" s="561">
        <v>300</v>
      </c>
      <c r="H39" s="13" t="s">
        <v>688</v>
      </c>
      <c r="I39" s="206">
        <v>145</v>
      </c>
      <c r="J39" s="206">
        <f>G39*I39</f>
        <v>43500</v>
      </c>
      <c r="L39" s="64">
        <f t="shared" si="0"/>
        <v>28546.986455332437</v>
      </c>
      <c r="M39" s="649">
        <f t="shared" si="1"/>
        <v>14953.013544667563</v>
      </c>
      <c r="O39" s="2"/>
      <c r="Q39" s="2"/>
      <c r="R39" s="2"/>
      <c r="S39" s="7"/>
      <c r="U39" s="67"/>
      <c r="V39" s="67"/>
      <c r="W39" s="67"/>
      <c r="X39" s="67"/>
      <c r="Y39" s="67"/>
      <c r="AA39" s="6"/>
      <c r="AB39" s="2"/>
      <c r="AD39" s="2"/>
      <c r="AF39" s="2"/>
      <c r="AG39" s="2"/>
      <c r="AH39" s="7"/>
    </row>
    <row r="40" spans="1:34">
      <c r="A40" s="17"/>
      <c r="B40" s="57"/>
      <c r="C40" s="29" t="s">
        <v>687</v>
      </c>
      <c r="E40" s="55"/>
      <c r="F40" s="56"/>
      <c r="G40" s="561">
        <v>300</v>
      </c>
      <c r="H40" s="13" t="s">
        <v>688</v>
      </c>
      <c r="I40" s="206">
        <v>228</v>
      </c>
      <c r="J40" s="206">
        <f>G40*I40</f>
        <v>68400</v>
      </c>
      <c r="L40" s="64">
        <f t="shared" si="0"/>
        <v>44887.675253902038</v>
      </c>
      <c r="M40" s="649">
        <f t="shared" si="1"/>
        <v>23512.324746097962</v>
      </c>
      <c r="O40" s="2"/>
      <c r="Q40" s="2"/>
      <c r="R40" s="2"/>
      <c r="S40" s="7"/>
      <c r="U40" s="67"/>
      <c r="V40" s="67"/>
      <c r="W40" s="67"/>
      <c r="X40" s="67"/>
      <c r="Y40" s="67"/>
      <c r="AA40" s="6"/>
      <c r="AB40" s="2"/>
      <c r="AD40" s="2"/>
      <c r="AF40" s="2"/>
      <c r="AG40" s="2"/>
      <c r="AH40" s="7"/>
    </row>
    <row r="41" spans="1:34">
      <c r="A41" s="17"/>
      <c r="B41" s="57"/>
      <c r="C41" s="29"/>
      <c r="E41" s="55"/>
      <c r="F41" s="56"/>
      <c r="G41" s="561"/>
      <c r="H41" s="13"/>
      <c r="I41" s="206"/>
      <c r="J41" s="206"/>
      <c r="L41" s="64">
        <f t="shared" si="0"/>
        <v>0</v>
      </c>
      <c r="M41" s="649">
        <f t="shared" si="1"/>
        <v>0</v>
      </c>
      <c r="O41" s="2"/>
      <c r="Q41" s="2"/>
      <c r="R41" s="2"/>
      <c r="S41" s="7"/>
      <c r="U41" s="67"/>
      <c r="V41" s="67"/>
      <c r="W41" s="67"/>
      <c r="X41" s="67"/>
      <c r="Y41" s="67"/>
      <c r="AA41" s="6"/>
      <c r="AB41" s="2"/>
      <c r="AD41" s="2"/>
      <c r="AF41" s="2"/>
      <c r="AG41" s="2"/>
      <c r="AH41" s="7"/>
    </row>
    <row r="42" spans="1:34">
      <c r="A42" s="17"/>
      <c r="B42" s="57"/>
      <c r="C42" s="29" t="s">
        <v>164</v>
      </c>
      <c r="E42" s="55"/>
      <c r="F42" s="56"/>
      <c r="G42" s="561">
        <f>G36-G33-(50*'Dwelling Mix'!AB90)</f>
        <v>13437</v>
      </c>
      <c r="H42" s="13" t="s">
        <v>18</v>
      </c>
      <c r="I42" s="206">
        <f>(260/8.5)+4.5</f>
        <v>35.088235294117652</v>
      </c>
      <c r="J42" s="206">
        <f>G42*I42</f>
        <v>471480.61764705891</v>
      </c>
      <c r="L42" s="64">
        <f t="shared" si="0"/>
        <v>309410.36335453705</v>
      </c>
      <c r="M42" s="649">
        <f t="shared" si="1"/>
        <v>162070.25429252186</v>
      </c>
      <c r="O42" s="2"/>
      <c r="Q42" s="2"/>
      <c r="R42" s="2"/>
      <c r="S42" s="7"/>
      <c r="U42" s="67"/>
      <c r="V42" s="67"/>
      <c r="W42" s="67"/>
      <c r="X42" s="67"/>
      <c r="Y42" s="67"/>
      <c r="AA42" s="6"/>
      <c r="AB42" s="2"/>
      <c r="AD42" s="2"/>
      <c r="AF42" s="2"/>
      <c r="AG42" s="2"/>
      <c r="AH42" s="7"/>
    </row>
    <row r="43" spans="1:34">
      <c r="A43" s="17"/>
      <c r="B43" s="57"/>
      <c r="C43" s="29" t="s">
        <v>164</v>
      </c>
      <c r="E43" s="55"/>
      <c r="F43" s="56"/>
      <c r="G43" s="561"/>
      <c r="H43" s="13" t="s">
        <v>18</v>
      </c>
      <c r="I43" s="206">
        <f>I42</f>
        <v>35.088235294117652</v>
      </c>
      <c r="J43" s="206">
        <f>G43*I43</f>
        <v>0</v>
      </c>
      <c r="L43" s="64">
        <f t="shared" si="0"/>
        <v>0</v>
      </c>
      <c r="M43" s="649">
        <f t="shared" si="1"/>
        <v>0</v>
      </c>
      <c r="O43" s="2"/>
      <c r="Q43" s="2"/>
      <c r="R43" s="2"/>
      <c r="S43" s="7"/>
      <c r="U43" s="67"/>
      <c r="V43" s="67"/>
      <c r="W43" s="67"/>
      <c r="X43" s="67"/>
      <c r="Y43" s="67"/>
      <c r="AA43" s="6"/>
      <c r="AB43" s="2"/>
      <c r="AD43" s="2"/>
      <c r="AF43" s="2"/>
      <c r="AG43" s="2"/>
      <c r="AH43" s="7"/>
    </row>
    <row r="44" spans="1:34">
      <c r="A44" s="17"/>
      <c r="B44" s="57"/>
      <c r="C44" s="29"/>
      <c r="E44" s="55"/>
      <c r="F44" s="56"/>
      <c r="G44" s="561"/>
      <c r="H44" s="13"/>
      <c r="I44" s="206"/>
      <c r="J44" s="206"/>
      <c r="L44" s="64">
        <f t="shared" si="0"/>
        <v>0</v>
      </c>
      <c r="M44" s="649">
        <f t="shared" si="1"/>
        <v>0</v>
      </c>
      <c r="N44" s="86"/>
      <c r="O44" s="2"/>
      <c r="Q44" s="2"/>
      <c r="R44" s="2"/>
      <c r="S44" s="7"/>
      <c r="U44" s="67"/>
      <c r="V44" s="67"/>
      <c r="W44" s="67"/>
      <c r="X44" s="67"/>
      <c r="Y44" s="67"/>
      <c r="AA44" s="6"/>
      <c r="AB44" s="2"/>
      <c r="AD44" s="2"/>
      <c r="AF44" s="2"/>
      <c r="AG44" s="2"/>
      <c r="AH44" s="7"/>
    </row>
    <row r="45" spans="1:34">
      <c r="A45" s="17"/>
      <c r="B45" s="57"/>
      <c r="C45" s="29" t="s">
        <v>659</v>
      </c>
      <c r="E45" s="55"/>
      <c r="F45" s="56"/>
      <c r="G45" s="561"/>
      <c r="H45" s="13" t="s">
        <v>18</v>
      </c>
      <c r="I45" s="208"/>
      <c r="J45" s="206">
        <f>G45*I45</f>
        <v>0</v>
      </c>
      <c r="L45" s="64">
        <f t="shared" si="0"/>
        <v>0</v>
      </c>
      <c r="M45" s="649">
        <f t="shared" si="1"/>
        <v>0</v>
      </c>
      <c r="O45" s="554"/>
      <c r="Q45" s="2"/>
      <c r="R45" s="2"/>
      <c r="S45" s="7"/>
      <c r="U45" s="67"/>
      <c r="V45" s="67"/>
      <c r="W45" s="67"/>
      <c r="X45" s="67"/>
      <c r="Y45" s="67"/>
      <c r="AA45" s="6"/>
      <c r="AB45" s="2"/>
      <c r="AD45" s="2"/>
      <c r="AF45" s="2"/>
      <c r="AG45" s="2"/>
      <c r="AH45" s="7"/>
    </row>
    <row r="46" spans="1:34">
      <c r="A46" s="17"/>
      <c r="B46" s="203"/>
      <c r="C46" s="204"/>
      <c r="E46" s="204"/>
      <c r="F46" s="205"/>
      <c r="H46" s="13"/>
      <c r="I46" s="21"/>
      <c r="J46" s="13"/>
      <c r="L46" s="64">
        <f t="shared" si="0"/>
        <v>0</v>
      </c>
      <c r="M46" s="649">
        <f t="shared" si="1"/>
        <v>0</v>
      </c>
      <c r="O46" s="2"/>
      <c r="Q46" s="2"/>
      <c r="R46" s="2"/>
      <c r="S46" s="7"/>
      <c r="U46" s="21"/>
      <c r="V46" s="21"/>
      <c r="W46" s="21"/>
      <c r="X46" s="21"/>
      <c r="Y46" s="21"/>
      <c r="AA46" s="6"/>
      <c r="AB46" s="2"/>
      <c r="AD46" s="2"/>
      <c r="AF46" s="2"/>
      <c r="AG46" s="2"/>
      <c r="AH46" s="7"/>
    </row>
    <row r="47" spans="1:34">
      <c r="A47" s="17"/>
      <c r="B47" s="217" t="s">
        <v>495</v>
      </c>
      <c r="C47" s="217"/>
      <c r="D47" s="217"/>
      <c r="E47" s="217"/>
      <c r="F47" s="218"/>
      <c r="G47" s="562"/>
      <c r="H47" s="220"/>
      <c r="I47" s="208"/>
      <c r="J47" s="211"/>
      <c r="L47" s="64">
        <f t="shared" si="0"/>
        <v>0</v>
      </c>
      <c r="M47" s="649">
        <f t="shared" si="1"/>
        <v>0</v>
      </c>
      <c r="O47" s="2"/>
      <c r="Q47" s="2"/>
      <c r="R47" s="2"/>
      <c r="S47" s="7"/>
      <c r="U47" s="21"/>
      <c r="V47" s="21"/>
      <c r="W47" s="21"/>
      <c r="X47" s="21"/>
      <c r="Y47" s="21"/>
      <c r="AA47" s="64"/>
      <c r="AB47" s="2"/>
      <c r="AD47" s="2"/>
      <c r="AF47" s="2"/>
      <c r="AG47" s="2"/>
      <c r="AH47" s="7"/>
    </row>
    <row r="48" spans="1:34">
      <c r="A48" s="17"/>
      <c r="B48" s="217"/>
      <c r="C48" s="217"/>
      <c r="D48" s="217"/>
      <c r="E48" s="217"/>
      <c r="F48" s="218"/>
      <c r="G48" s="562"/>
      <c r="H48" s="220"/>
      <c r="I48" s="208"/>
      <c r="J48" s="211"/>
      <c r="L48" s="64">
        <f t="shared" si="0"/>
        <v>0</v>
      </c>
      <c r="M48" s="649">
        <f t="shared" si="1"/>
        <v>0</v>
      </c>
      <c r="O48" s="2"/>
      <c r="Q48" s="2"/>
      <c r="R48" s="2"/>
      <c r="S48" s="7"/>
      <c r="U48" s="21"/>
      <c r="V48" s="21"/>
      <c r="W48" s="21"/>
      <c r="X48" s="21"/>
      <c r="Y48" s="21"/>
      <c r="AA48" s="6"/>
      <c r="AB48" s="2"/>
      <c r="AD48" s="2"/>
      <c r="AF48" s="2"/>
      <c r="AG48" s="2"/>
      <c r="AH48" s="7"/>
    </row>
    <row r="49" spans="1:34">
      <c r="A49" s="17"/>
      <c r="B49" s="221"/>
      <c r="C49" s="217" t="s">
        <v>686</v>
      </c>
      <c r="D49" s="217"/>
      <c r="E49" s="217"/>
      <c r="F49" s="564"/>
      <c r="G49" s="562">
        <f>('Dwelling Mix'!N112+'Dwelling Mix'!N114+'Dwelling Mix'!N115+'Dwelling Mix'!N117+'Dwelling Mix'!N118)*0.3</f>
        <v>19572.465</v>
      </c>
      <c r="H49" s="220" t="s">
        <v>18</v>
      </c>
      <c r="I49" s="208">
        <v>-8.5</v>
      </c>
      <c r="J49" s="211">
        <f>G49*I49</f>
        <v>-166365.95250000001</v>
      </c>
      <c r="L49" s="211">
        <f t="shared" si="0"/>
        <v>-109178.08258956276</v>
      </c>
      <c r="M49" s="211">
        <f t="shared" si="1"/>
        <v>-57187.86991043725</v>
      </c>
      <c r="O49" s="2"/>
      <c r="Q49" s="2"/>
      <c r="R49" s="2"/>
      <c r="S49" s="7"/>
      <c r="U49" s="21"/>
      <c r="V49" s="21"/>
      <c r="W49" s="21"/>
      <c r="X49" s="21"/>
      <c r="Y49" s="21"/>
      <c r="AA49" s="6"/>
      <c r="AB49" s="2"/>
      <c r="AD49" s="2"/>
      <c r="AF49" s="2"/>
      <c r="AG49" s="2"/>
      <c r="AH49" s="7"/>
    </row>
    <row r="50" spans="1:34">
      <c r="A50" s="17"/>
      <c r="B50" s="221"/>
      <c r="C50" s="217"/>
      <c r="D50" s="217"/>
      <c r="E50" s="217"/>
      <c r="F50" s="218"/>
      <c r="G50" s="562"/>
      <c r="H50" s="220"/>
      <c r="I50" s="208"/>
      <c r="J50" s="211"/>
      <c r="L50" s="6"/>
      <c r="M50" s="2"/>
      <c r="O50" s="2"/>
      <c r="Q50" s="2"/>
      <c r="R50" s="2"/>
      <c r="S50" s="7"/>
      <c r="U50" s="21"/>
      <c r="V50" s="21"/>
      <c r="W50" s="21"/>
      <c r="X50" s="21"/>
      <c r="Y50" s="21"/>
      <c r="AA50" s="6"/>
      <c r="AB50" s="2"/>
      <c r="AD50" s="2"/>
      <c r="AF50" s="2"/>
      <c r="AG50" s="2"/>
      <c r="AH50" s="7"/>
    </row>
    <row r="51" spans="1:34">
      <c r="A51" s="17"/>
      <c r="B51" s="20"/>
      <c r="F51" s="7"/>
      <c r="H51" s="13"/>
      <c r="I51" s="208"/>
      <c r="J51" s="211"/>
      <c r="L51" s="6"/>
      <c r="M51" s="2"/>
      <c r="O51" s="2"/>
      <c r="Q51" s="2"/>
      <c r="R51" s="2"/>
      <c r="S51" s="7"/>
      <c r="U51" s="21"/>
      <c r="V51" s="21"/>
      <c r="W51" s="21"/>
      <c r="X51" s="21"/>
      <c r="Y51" s="21"/>
      <c r="AA51" s="64"/>
      <c r="AB51" s="2"/>
      <c r="AD51" s="2"/>
      <c r="AF51" s="2"/>
      <c r="AG51" s="2"/>
      <c r="AH51" s="7"/>
    </row>
    <row r="52" spans="1:34">
      <c r="A52" s="17"/>
      <c r="B52" s="203"/>
      <c r="C52" s="204"/>
      <c r="E52" s="204"/>
      <c r="F52" s="205"/>
      <c r="H52" s="13"/>
      <c r="I52" s="21"/>
      <c r="J52" s="13"/>
      <c r="L52" s="6"/>
      <c r="M52" s="2"/>
      <c r="O52" s="2"/>
      <c r="Q52" s="2"/>
      <c r="R52" s="2"/>
      <c r="S52" s="7"/>
      <c r="U52" s="21"/>
      <c r="V52" s="21"/>
      <c r="W52" s="21"/>
      <c r="X52" s="21"/>
      <c r="Y52" s="21"/>
      <c r="AA52" s="6"/>
      <c r="AB52" s="2"/>
      <c r="AD52" s="2"/>
      <c r="AF52" s="2"/>
      <c r="AG52" s="2"/>
      <c r="AH52" s="7"/>
    </row>
    <row r="53" spans="1:34">
      <c r="A53" s="17"/>
      <c r="B53" s="212" t="s">
        <v>160</v>
      </c>
      <c r="C53" s="204"/>
      <c r="F53" s="205"/>
      <c r="H53" s="13"/>
      <c r="I53" s="21"/>
      <c r="J53" s="13"/>
      <c r="L53" s="6"/>
      <c r="M53" s="2"/>
      <c r="O53" s="2"/>
      <c r="Q53" s="2"/>
      <c r="R53" s="2"/>
      <c r="S53" s="7"/>
      <c r="U53" s="21"/>
      <c r="V53" s="21"/>
      <c r="W53" s="21"/>
      <c r="X53" s="21"/>
      <c r="Y53" s="21"/>
      <c r="AA53" s="6"/>
      <c r="AB53" s="2"/>
      <c r="AD53" s="2"/>
      <c r="AF53" s="2"/>
      <c r="AG53" s="2"/>
      <c r="AH53" s="7"/>
    </row>
    <row r="54" spans="1:34">
      <c r="A54" s="17"/>
      <c r="B54" s="203"/>
      <c r="C54" s="204"/>
      <c r="D54" s="204"/>
      <c r="E54" s="204"/>
      <c r="F54" s="205"/>
      <c r="H54" s="13"/>
      <c r="I54" s="21"/>
      <c r="J54" s="13"/>
      <c r="L54" s="6"/>
      <c r="M54" s="2"/>
      <c r="O54" s="2"/>
      <c r="Q54" s="2"/>
      <c r="R54" s="2"/>
      <c r="S54" s="7"/>
      <c r="U54" s="21"/>
      <c r="V54" s="21"/>
      <c r="W54" s="21"/>
      <c r="X54" s="21"/>
      <c r="Y54" s="21"/>
      <c r="AA54" s="6"/>
      <c r="AB54" s="2"/>
      <c r="AD54" s="2"/>
      <c r="AF54" s="2"/>
      <c r="AG54" s="2"/>
      <c r="AH54" s="7"/>
    </row>
    <row r="55" spans="1:34" ht="16">
      <c r="A55" s="17"/>
      <c r="B55" s="213" t="s">
        <v>161</v>
      </c>
      <c r="C55" s="214">
        <f>'Dwelling Mix'!AA93</f>
        <v>49.258774097874443</v>
      </c>
      <c r="D55" s="214" t="s">
        <v>159</v>
      </c>
      <c r="E55" s="214">
        <f>C55*4046</f>
        <v>199301</v>
      </c>
      <c r="F55" s="215" t="s">
        <v>39</v>
      </c>
      <c r="H55" s="13"/>
      <c r="I55" s="21"/>
      <c r="J55" s="13"/>
      <c r="L55" s="6"/>
      <c r="M55" s="2"/>
      <c r="O55" s="2"/>
      <c r="Q55" s="2"/>
      <c r="R55" s="2"/>
      <c r="S55" s="7"/>
      <c r="U55" s="21"/>
      <c r="V55" s="21"/>
      <c r="W55" s="21"/>
      <c r="X55" s="21"/>
      <c r="Y55" s="21"/>
      <c r="AA55" s="6"/>
      <c r="AB55" s="2"/>
      <c r="AD55" s="2"/>
      <c r="AF55" s="2"/>
      <c r="AG55" s="2"/>
      <c r="AH55" s="7"/>
    </row>
    <row r="56" spans="1:34">
      <c r="A56" s="17"/>
      <c r="B56" s="203"/>
      <c r="C56" s="204"/>
      <c r="D56" s="204"/>
      <c r="E56" s="204"/>
      <c r="F56" s="205"/>
      <c r="H56" s="13"/>
      <c r="I56" s="21"/>
      <c r="J56" s="13"/>
      <c r="L56" s="6"/>
      <c r="M56" s="2"/>
      <c r="O56" s="2"/>
      <c r="Q56" s="2"/>
      <c r="R56" s="2"/>
      <c r="S56" s="7"/>
      <c r="U56" s="21"/>
      <c r="V56" s="21"/>
      <c r="W56" s="21"/>
      <c r="X56" s="21"/>
      <c r="Y56" s="21"/>
      <c r="AA56" s="6"/>
      <c r="AB56" s="2"/>
      <c r="AD56" s="2"/>
      <c r="AF56" s="2"/>
      <c r="AG56" s="2"/>
      <c r="AH56" s="7"/>
    </row>
    <row r="57" spans="1:34" ht="16">
      <c r="A57" s="17"/>
      <c r="B57" s="216" t="s">
        <v>162</v>
      </c>
      <c r="C57" s="214">
        <f>E57/4046</f>
        <v>12.978250123578844</v>
      </c>
      <c r="D57" s="214" t="s">
        <v>159</v>
      </c>
      <c r="E57" s="214">
        <f>((6*3)+(10*10))*'Dwelling Mix'!AB90</f>
        <v>52510</v>
      </c>
      <c r="F57" s="215" t="s">
        <v>39</v>
      </c>
      <c r="H57" s="13"/>
      <c r="I57" s="21"/>
      <c r="J57" s="13"/>
      <c r="L57" s="6"/>
      <c r="M57" s="2"/>
      <c r="O57" s="2"/>
      <c r="Q57" s="2"/>
      <c r="R57" s="2"/>
      <c r="S57" s="7"/>
      <c r="U57" s="21"/>
      <c r="V57" s="21"/>
      <c r="W57" s="21"/>
      <c r="X57" s="21"/>
      <c r="Y57" s="21"/>
      <c r="AA57" s="6"/>
      <c r="AB57" s="2"/>
      <c r="AD57" s="2"/>
      <c r="AF57" s="2"/>
      <c r="AG57" s="2"/>
      <c r="AH57" s="7"/>
    </row>
    <row r="58" spans="1:34">
      <c r="A58" s="17"/>
      <c r="B58" s="203"/>
      <c r="C58" s="204"/>
      <c r="D58" s="204"/>
      <c r="E58" s="204"/>
      <c r="F58" s="205"/>
      <c r="H58" s="13"/>
      <c r="I58" s="21"/>
      <c r="J58" s="13"/>
      <c r="L58" s="6"/>
      <c r="M58" s="2"/>
      <c r="O58" s="2"/>
      <c r="Q58" s="2"/>
      <c r="R58" s="2"/>
      <c r="S58" s="7"/>
      <c r="U58" s="21"/>
      <c r="V58" s="21"/>
      <c r="W58" s="21"/>
      <c r="X58" s="21"/>
      <c r="Y58" s="21"/>
      <c r="AA58" s="6"/>
      <c r="AB58" s="2"/>
      <c r="AD58" s="2"/>
      <c r="AF58" s="2"/>
      <c r="AG58" s="2"/>
      <c r="AH58" s="7"/>
    </row>
    <row r="59" spans="1:34" ht="16">
      <c r="A59" s="17"/>
      <c r="B59" s="216" t="s">
        <v>163</v>
      </c>
      <c r="C59" s="214">
        <f>'Dwelling Mix'!AA94</f>
        <v>20.138887790410283</v>
      </c>
      <c r="D59" s="214" t="s">
        <v>159</v>
      </c>
      <c r="E59" s="214">
        <f>C59*4046</f>
        <v>81481.94</v>
      </c>
      <c r="F59" s="215" t="s">
        <v>39</v>
      </c>
      <c r="H59" s="13"/>
      <c r="I59" s="21"/>
      <c r="J59" s="13"/>
      <c r="L59" s="6"/>
      <c r="M59" s="2"/>
      <c r="O59" s="2"/>
      <c r="Q59" s="2"/>
      <c r="R59" s="2"/>
      <c r="S59" s="7"/>
      <c r="U59" s="21"/>
      <c r="V59" s="21"/>
      <c r="W59" s="21"/>
      <c r="X59" s="21"/>
      <c r="Y59" s="21"/>
      <c r="AA59" s="6"/>
      <c r="AB59" s="2"/>
      <c r="AD59" s="2"/>
      <c r="AF59" s="2"/>
      <c r="AG59" s="2"/>
      <c r="AH59" s="7"/>
    </row>
    <row r="60" spans="1:34">
      <c r="A60" s="17"/>
      <c r="B60" s="6"/>
      <c r="F60" s="36"/>
      <c r="H60" s="13"/>
      <c r="I60" s="21"/>
      <c r="J60" s="13"/>
      <c r="L60" s="6"/>
      <c r="M60" s="2"/>
      <c r="O60" s="2"/>
      <c r="Q60" s="2"/>
      <c r="R60" s="2"/>
      <c r="S60" s="7"/>
      <c r="U60" s="21"/>
      <c r="V60" s="21"/>
      <c r="W60" s="21"/>
      <c r="X60" s="21"/>
      <c r="Y60" s="21"/>
      <c r="AA60" s="6"/>
      <c r="AB60" s="2"/>
      <c r="AD60" s="2"/>
      <c r="AF60" s="2"/>
      <c r="AG60" s="2"/>
      <c r="AH60" s="7"/>
    </row>
    <row r="61" spans="1:34">
      <c r="A61" s="17"/>
      <c r="B61" s="6"/>
      <c r="F61" s="36"/>
      <c r="H61" s="13"/>
      <c r="I61" s="21"/>
      <c r="J61" s="13"/>
      <c r="L61" s="6"/>
      <c r="M61" s="2"/>
      <c r="O61" s="2"/>
      <c r="Q61" s="2"/>
      <c r="R61" s="2"/>
      <c r="S61" s="7"/>
      <c r="U61" s="21"/>
      <c r="V61" s="21"/>
      <c r="W61" s="21"/>
      <c r="X61" s="21"/>
      <c r="Y61" s="21"/>
      <c r="AA61" s="6"/>
      <c r="AB61" s="2"/>
      <c r="AD61" s="2"/>
      <c r="AF61" s="2"/>
      <c r="AG61" s="2"/>
      <c r="AH61" s="7"/>
    </row>
    <row r="62" spans="1:34">
      <c r="A62" s="17"/>
      <c r="B62" s="6"/>
      <c r="F62" s="7"/>
      <c r="H62" s="13"/>
      <c r="I62" s="21"/>
      <c r="J62" s="13"/>
      <c r="L62" s="6"/>
      <c r="M62" s="2"/>
      <c r="O62" s="2"/>
      <c r="Q62" s="2"/>
      <c r="R62" s="2"/>
      <c r="S62" s="7"/>
      <c r="U62" s="21"/>
      <c r="V62" s="21"/>
      <c r="W62" s="21"/>
      <c r="X62" s="21"/>
      <c r="Y62" s="21"/>
      <c r="AA62" s="6"/>
      <c r="AB62" s="2"/>
      <c r="AD62" s="2"/>
      <c r="AF62" s="2"/>
      <c r="AG62" s="2"/>
      <c r="AH62" s="7"/>
    </row>
    <row r="63" spans="1:34" ht="16" thickBot="1">
      <c r="A63" s="17"/>
      <c r="B63" s="6"/>
      <c r="F63" s="7"/>
      <c r="H63" s="13"/>
      <c r="I63" s="21"/>
      <c r="J63" s="47">
        <f>SUM(J9:J62)</f>
        <v>3723198.1651470587</v>
      </c>
      <c r="L63" s="47">
        <f t="shared" ref="L63:S63" si="3">SUM(L9:L62)</f>
        <v>2443358.335424636</v>
      </c>
      <c r="M63" s="47">
        <f t="shared" si="3"/>
        <v>1279839.8297224229</v>
      </c>
      <c r="N63" s="47">
        <f t="shared" si="3"/>
        <v>0</v>
      </c>
      <c r="O63" s="47">
        <f t="shared" si="3"/>
        <v>0</v>
      </c>
      <c r="P63" s="47">
        <f t="shared" si="3"/>
        <v>0</v>
      </c>
      <c r="Q63" s="47">
        <f t="shared" si="3"/>
        <v>0</v>
      </c>
      <c r="R63" s="47">
        <f t="shared" si="3"/>
        <v>0</v>
      </c>
      <c r="S63" s="47">
        <f t="shared" si="3"/>
        <v>0</v>
      </c>
      <c r="U63" s="65"/>
      <c r="V63" s="65">
        <f>SUM(L63:U63)</f>
        <v>3723198.1651470587</v>
      </c>
      <c r="W63" s="65"/>
      <c r="X63" s="65"/>
      <c r="Y63" s="65"/>
      <c r="AA63" s="47">
        <f t="shared" ref="AA63:AH63" si="4">SUM(AA9:AA62)</f>
        <v>0</v>
      </c>
      <c r="AB63" s="47">
        <f t="shared" si="4"/>
        <v>0</v>
      </c>
      <c r="AC63" s="47">
        <f t="shared" si="4"/>
        <v>0</v>
      </c>
      <c r="AD63" s="47">
        <f t="shared" si="4"/>
        <v>0</v>
      </c>
      <c r="AE63" s="47">
        <f t="shared" si="4"/>
        <v>0</v>
      </c>
      <c r="AF63" s="47">
        <f t="shared" si="4"/>
        <v>0</v>
      </c>
      <c r="AG63" s="47">
        <f t="shared" si="4"/>
        <v>0</v>
      </c>
      <c r="AH63" s="47">
        <f t="shared" si="4"/>
        <v>0</v>
      </c>
    </row>
    <row r="64" spans="1:34">
      <c r="A64" s="18"/>
      <c r="B64" s="8"/>
      <c r="C64" s="9"/>
      <c r="D64" s="9"/>
      <c r="E64" s="9"/>
      <c r="F64" s="10"/>
      <c r="G64" s="563"/>
      <c r="H64" s="15"/>
      <c r="I64" s="23"/>
      <c r="J64" s="15"/>
      <c r="L64" s="8"/>
      <c r="M64" s="63"/>
      <c r="N64" s="9"/>
      <c r="O64" s="63"/>
      <c r="P64" s="9"/>
      <c r="Q64" s="63"/>
      <c r="R64" s="63"/>
      <c r="S64" s="10"/>
      <c r="U64" s="21"/>
      <c r="V64" s="21"/>
      <c r="W64" s="21"/>
      <c r="X64" s="21"/>
      <c r="Y64" s="21"/>
      <c r="AA64" s="8"/>
      <c r="AB64" s="63"/>
      <c r="AC64" s="9"/>
      <c r="AD64" s="63"/>
      <c r="AE64" s="9"/>
      <c r="AF64" s="63"/>
      <c r="AG64" s="63"/>
      <c r="AH64" s="10"/>
    </row>
  </sheetData>
  <mergeCells count="21">
    <mergeCell ref="AG6:AG7"/>
    <mergeCell ref="AA5:AH5"/>
    <mergeCell ref="AA6:AE6"/>
    <mergeCell ref="AH6:AH7"/>
    <mergeCell ref="L5:S5"/>
    <mergeCell ref="Q6:Q7"/>
    <mergeCell ref="R6:R7"/>
    <mergeCell ref="S6:S7"/>
    <mergeCell ref="L6:M6"/>
    <mergeCell ref="N6:O6"/>
    <mergeCell ref="P6:P7"/>
    <mergeCell ref="H5:H8"/>
    <mergeCell ref="I5:I8"/>
    <mergeCell ref="J5:J8"/>
    <mergeCell ref="H2:I2"/>
    <mergeCell ref="AF6:AF7"/>
    <mergeCell ref="C16:F16"/>
    <mergeCell ref="C18:F19"/>
    <mergeCell ref="A5:A8"/>
    <mergeCell ref="B5:F8"/>
    <mergeCell ref="G5:G8"/>
  </mergeCells>
  <printOptions horizontalCentered="1"/>
  <pageMargins left="0.261811024" right="0.511811023622047" top="0.55118110236220497" bottom="0.55118110236220497" header="0.31496062992126" footer="0.31496062992126"/>
  <pageSetup paperSize="9" scale="33"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6" tint="0.39997558519241921"/>
    <pageSetUpPr fitToPage="1"/>
  </sheetPr>
  <dimension ref="A1:AH55"/>
  <sheetViews>
    <sheetView workbookViewId="0">
      <selection activeCell="L1" sqref="L1:S1048576"/>
    </sheetView>
  </sheetViews>
  <sheetFormatPr baseColWidth="10" defaultColWidth="8.83203125" defaultRowHeight="15"/>
  <cols>
    <col min="1" max="1" width="4" customWidth="1"/>
    <col min="6" max="7" width="10.5" bestFit="1" customWidth="1"/>
    <col min="8" max="8" width="6.5" customWidth="1"/>
    <col min="9" max="9" width="10.33203125" style="209" customWidth="1"/>
    <col min="10" max="10" width="14.1640625" style="209" customWidth="1"/>
    <col min="11" max="11" width="1.83203125" customWidth="1"/>
    <col min="12" max="12" width="12.5" hidden="1" customWidth="1"/>
    <col min="13" max="13" width="11.6640625" hidden="1" customWidth="1"/>
    <col min="14" max="14" width="13.5" hidden="1" customWidth="1"/>
    <col min="15" max="19" width="11.6640625" hidden="1" customWidth="1"/>
    <col min="21" max="25" width="11.5" customWidth="1"/>
    <col min="26" max="26" width="2.6640625" customWidth="1"/>
    <col min="27" max="34" width="12.6640625" hidden="1" customWidth="1"/>
  </cols>
  <sheetData>
    <row r="1" spans="1:34" s="1" customFormat="1">
      <c r="I1" s="207"/>
      <c r="J1" s="207"/>
    </row>
    <row r="2" spans="1:34" s="1" customFormat="1" ht="16.5" customHeight="1">
      <c r="B2" s="1" t="str">
        <f>'Breakdown Summary'!B2</f>
        <v>Trows Farm, Castleton</v>
      </c>
      <c r="G2" s="1" t="str">
        <f>'Breakdown Summary'!G2</f>
        <v>Date</v>
      </c>
      <c r="H2" s="1045">
        <f>'Breakdown Summary'!H2</f>
        <v>45453</v>
      </c>
      <c r="I2" s="1045"/>
      <c r="J2" s="207" t="str">
        <f>'Breakdown Summary'!J2</f>
        <v>Ver - 6</v>
      </c>
      <c r="S2" s="49"/>
      <c r="AH2" s="49"/>
    </row>
    <row r="3" spans="1:34" s="1" customFormat="1">
      <c r="B3" s="1" t="str">
        <f>'Breakdown Summary'!B3</f>
        <v>Cowm Top Lane, Rochdale</v>
      </c>
      <c r="G3" s="1" t="str">
        <f>'Breakdown Summary'!H3</f>
        <v>Breakdown of Abnormal Costs</v>
      </c>
      <c r="I3" s="207"/>
      <c r="J3" s="207"/>
    </row>
    <row r="4" spans="1:34" s="1" customFormat="1" ht="12" customHeight="1">
      <c r="I4" s="207"/>
      <c r="J4" s="207"/>
    </row>
    <row r="5" spans="1:34" s="1" customFormat="1" ht="15" customHeight="1">
      <c r="A5" s="1046" t="s">
        <v>0</v>
      </c>
      <c r="B5" s="1054" t="s">
        <v>1</v>
      </c>
      <c r="C5" s="1055"/>
      <c r="D5" s="1055"/>
      <c r="E5" s="1055"/>
      <c r="F5" s="1056"/>
      <c r="G5" s="1046" t="s">
        <v>6</v>
      </c>
      <c r="H5" s="1046" t="s">
        <v>5</v>
      </c>
      <c r="I5" s="1149" t="s">
        <v>2</v>
      </c>
      <c r="J5" s="1149" t="s">
        <v>3</v>
      </c>
      <c r="L5" s="1124" t="str">
        <f>'Breakdown Summary'!L5:S5</f>
        <v>Phasing Breakdown</v>
      </c>
      <c r="M5" s="1125"/>
      <c r="N5" s="1125"/>
      <c r="O5" s="1125"/>
      <c r="P5" s="1125"/>
      <c r="Q5" s="1125"/>
      <c r="R5" s="1125"/>
      <c r="S5" s="1126"/>
      <c r="U5" s="195"/>
      <c r="V5" s="195"/>
      <c r="W5" s="195"/>
      <c r="X5" s="195"/>
      <c r="Y5" s="195"/>
      <c r="AA5" s="1124" t="s">
        <v>17</v>
      </c>
      <c r="AB5" s="1125"/>
      <c r="AC5" s="1125"/>
      <c r="AD5" s="1125"/>
      <c r="AE5" s="1125"/>
      <c r="AF5" s="1125"/>
      <c r="AG5" s="1125"/>
      <c r="AH5" s="1126"/>
    </row>
    <row r="6" spans="1:34" s="1" customFormat="1" ht="14" customHeight="1">
      <c r="A6" s="1047"/>
      <c r="B6" s="1057"/>
      <c r="C6" s="1058"/>
      <c r="D6" s="1058"/>
      <c r="E6" s="1058"/>
      <c r="F6" s="1059"/>
      <c r="G6" s="1047"/>
      <c r="H6" s="1047"/>
      <c r="I6" s="1150"/>
      <c r="J6" s="1150"/>
      <c r="L6" s="1127" t="str">
        <f>'Breakdown Summary'!L6</f>
        <v>Site 1</v>
      </c>
      <c r="M6" s="1128"/>
      <c r="N6" s="1127">
        <f>'Breakdown Summary'!N6</f>
        <v>0</v>
      </c>
      <c r="O6" s="1128"/>
      <c r="P6" s="1063">
        <f>'Breakdown Summary'!P6:P7</f>
        <v>0</v>
      </c>
      <c r="Q6" s="1063">
        <f>'Breakdown Summary'!Q6:Q7</f>
        <v>0</v>
      </c>
      <c r="R6" s="1063">
        <f>'Breakdown Summary'!R6:R7</f>
        <v>0</v>
      </c>
      <c r="S6" s="1063">
        <f>'Breakdown Summary'!S6:S7</f>
        <v>0</v>
      </c>
      <c r="U6" s="195"/>
      <c r="V6" s="195"/>
      <c r="W6" s="195"/>
      <c r="X6" s="195"/>
      <c r="Y6" s="195"/>
      <c r="AA6" s="1127" t="s">
        <v>15</v>
      </c>
      <c r="AB6" s="1140"/>
      <c r="AC6" s="1140"/>
      <c r="AD6" s="1140"/>
      <c r="AE6" s="1128"/>
      <c r="AF6" s="1063" t="s">
        <v>12</v>
      </c>
      <c r="AG6" s="1063" t="s">
        <v>13</v>
      </c>
      <c r="AH6" s="1063" t="s">
        <v>14</v>
      </c>
    </row>
    <row r="7" spans="1:34">
      <c r="A7" s="1047"/>
      <c r="B7" s="1057"/>
      <c r="C7" s="1058"/>
      <c r="D7" s="1058"/>
      <c r="E7" s="1058"/>
      <c r="F7" s="1059"/>
      <c r="G7" s="1047"/>
      <c r="H7" s="1047"/>
      <c r="I7" s="1150"/>
      <c r="J7" s="1150"/>
      <c r="L7" s="59" t="str">
        <f>'Breakdown Summary'!L7</f>
        <v>Barratt</v>
      </c>
      <c r="M7" s="59" t="str">
        <f>'Breakdown Summary'!M7</f>
        <v>David Wilson</v>
      </c>
      <c r="N7" s="59" t="str">
        <f>'Breakdown Summary'!N7</f>
        <v>Phs</v>
      </c>
      <c r="O7" s="59" t="str">
        <f>'Breakdown Summary'!O7</f>
        <v>Phs</v>
      </c>
      <c r="P7" s="1065"/>
      <c r="Q7" s="1065"/>
      <c r="R7" s="1065"/>
      <c r="S7" s="1065"/>
      <c r="U7" s="195"/>
      <c r="V7" s="195"/>
      <c r="W7" s="195"/>
      <c r="X7" s="195"/>
      <c r="Y7" s="195"/>
      <c r="AA7" s="59">
        <v>1</v>
      </c>
      <c r="AB7" s="59">
        <v>2</v>
      </c>
      <c r="AC7" s="59">
        <v>3</v>
      </c>
      <c r="AD7" s="59">
        <v>4</v>
      </c>
      <c r="AE7" s="59">
        <v>5</v>
      </c>
      <c r="AF7" s="1065"/>
      <c r="AG7" s="1065"/>
      <c r="AH7" s="1065"/>
    </row>
    <row r="8" spans="1:34" s="1" customFormat="1">
      <c r="A8" s="1048"/>
      <c r="B8" s="1060"/>
      <c r="C8" s="1061"/>
      <c r="D8" s="1061"/>
      <c r="E8" s="1061"/>
      <c r="F8" s="1062"/>
      <c r="G8" s="1048"/>
      <c r="H8" s="1048"/>
      <c r="I8" s="1151"/>
      <c r="J8" s="1151"/>
      <c r="L8" s="242">
        <f>'Breakdown Summary'!L13</f>
        <v>19.11</v>
      </c>
      <c r="M8" s="242">
        <f>'Breakdown Summary'!M13</f>
        <v>10.009886307464162</v>
      </c>
      <c r="N8" s="242">
        <f>'Breakdown Summary'!N13</f>
        <v>0</v>
      </c>
      <c r="O8" s="242">
        <f>'Breakdown Summary'!O13</f>
        <v>0</v>
      </c>
      <c r="P8" s="62">
        <f>'Breakdown Summary'!P13</f>
        <v>0</v>
      </c>
      <c r="Q8" s="60"/>
      <c r="R8" s="61"/>
      <c r="S8" s="61"/>
      <c r="U8" s="195"/>
      <c r="V8" s="195"/>
      <c r="W8" s="195"/>
      <c r="X8" s="195"/>
      <c r="Y8" s="195"/>
      <c r="AA8" s="62">
        <v>1</v>
      </c>
      <c r="AB8" s="62">
        <v>0</v>
      </c>
      <c r="AC8" s="62">
        <v>0</v>
      </c>
      <c r="AD8" s="62">
        <v>0</v>
      </c>
      <c r="AE8" s="62">
        <v>0</v>
      </c>
      <c r="AF8" s="60">
        <v>0</v>
      </c>
      <c r="AG8" s="61">
        <v>0</v>
      </c>
      <c r="AH8" s="61">
        <v>0</v>
      </c>
    </row>
    <row r="9" spans="1:34">
      <c r="A9" s="16"/>
      <c r="B9" s="3"/>
      <c r="C9" s="4"/>
      <c r="D9" s="4"/>
      <c r="E9" s="4"/>
      <c r="F9" s="5"/>
      <c r="G9" s="11"/>
      <c r="H9" s="12"/>
      <c r="I9" s="208"/>
      <c r="J9" s="210"/>
      <c r="L9" s="3"/>
      <c r="M9" s="58"/>
      <c r="N9" s="4"/>
      <c r="O9" s="58"/>
      <c r="P9" s="4"/>
      <c r="Q9" s="58"/>
      <c r="R9" s="58"/>
      <c r="S9" s="5"/>
      <c r="U9" s="21"/>
      <c r="V9" s="21"/>
      <c r="W9" s="21"/>
      <c r="X9" s="21"/>
      <c r="Y9" s="21"/>
      <c r="AA9" s="3"/>
      <c r="AB9" s="58"/>
      <c r="AC9" s="4"/>
      <c r="AD9" s="58"/>
      <c r="AE9" s="4"/>
      <c r="AF9" s="58"/>
      <c r="AG9" s="58"/>
      <c r="AH9" s="5"/>
    </row>
    <row r="10" spans="1:34" ht="19">
      <c r="A10" s="19">
        <v>6</v>
      </c>
      <c r="B10" s="74" t="s">
        <v>261</v>
      </c>
      <c r="F10" s="7"/>
      <c r="G10" s="11"/>
      <c r="H10" s="13"/>
      <c r="I10" s="11"/>
      <c r="J10" s="13"/>
      <c r="L10" s="6"/>
      <c r="M10" s="2"/>
      <c r="O10" s="2"/>
      <c r="Q10" s="2"/>
      <c r="R10" s="2"/>
      <c r="S10" s="7"/>
      <c r="U10" s="21"/>
      <c r="V10" s="21"/>
      <c r="W10" s="21"/>
      <c r="X10" s="21"/>
      <c r="Y10" s="21"/>
      <c r="AA10" s="6"/>
      <c r="AB10" s="2"/>
      <c r="AD10" s="2"/>
      <c r="AF10" s="2"/>
      <c r="AG10" s="2"/>
      <c r="AH10" s="7"/>
    </row>
    <row r="11" spans="1:34">
      <c r="A11" s="19"/>
      <c r="B11" s="20"/>
      <c r="F11" s="7"/>
      <c r="G11" s="11"/>
      <c r="H11" s="13"/>
      <c r="I11" s="11"/>
      <c r="J11" s="13"/>
      <c r="L11" s="6"/>
      <c r="M11" s="2"/>
      <c r="O11" s="2"/>
      <c r="Q11" s="2"/>
      <c r="R11" s="2"/>
      <c r="S11" s="7"/>
      <c r="U11" s="21"/>
      <c r="V11" s="21"/>
      <c r="W11" s="21"/>
      <c r="X11" s="21"/>
      <c r="Y11" s="21"/>
      <c r="AA11" s="6"/>
      <c r="AB11" s="2"/>
      <c r="AD11" s="2"/>
      <c r="AF11" s="2"/>
      <c r="AG11" s="2"/>
      <c r="AH11" s="7"/>
    </row>
    <row r="12" spans="1:34">
      <c r="A12" s="19"/>
      <c r="B12" s="1146" t="s">
        <v>262</v>
      </c>
      <c r="C12" s="1147"/>
      <c r="D12" s="1147"/>
      <c r="E12" s="1147"/>
      <c r="F12" s="1148"/>
      <c r="G12" s="11"/>
      <c r="H12" s="13"/>
      <c r="I12" s="11"/>
      <c r="J12" s="13"/>
      <c r="L12" s="6"/>
      <c r="M12" s="2"/>
      <c r="O12" s="2"/>
      <c r="Q12" s="2"/>
      <c r="R12" s="2"/>
      <c r="S12" s="7"/>
      <c r="U12" s="21"/>
      <c r="V12" s="21"/>
      <c r="W12" s="21"/>
      <c r="X12" s="21"/>
      <c r="Y12" s="21"/>
      <c r="AA12" s="64"/>
      <c r="AB12" s="2"/>
      <c r="AD12" s="2"/>
      <c r="AF12" s="2"/>
      <c r="AG12" s="2"/>
      <c r="AH12" s="7"/>
    </row>
    <row r="13" spans="1:34">
      <c r="A13" s="19"/>
      <c r="B13" s="1146"/>
      <c r="C13" s="1147"/>
      <c r="D13" s="1147"/>
      <c r="E13" s="1147"/>
      <c r="F13" s="1148"/>
      <c r="G13" s="11"/>
      <c r="H13" s="13"/>
      <c r="I13" s="11"/>
      <c r="J13" s="13"/>
      <c r="L13" s="6"/>
      <c r="M13" s="2"/>
      <c r="O13" s="2"/>
      <c r="Q13" s="2"/>
      <c r="R13" s="2"/>
      <c r="S13" s="7"/>
      <c r="U13" s="21"/>
      <c r="V13" s="21"/>
      <c r="W13" s="21"/>
      <c r="X13" s="21"/>
      <c r="Y13" s="21"/>
      <c r="AA13" s="6"/>
      <c r="AB13" s="2"/>
      <c r="AD13" s="2"/>
      <c r="AF13" s="2"/>
      <c r="AG13" s="2"/>
      <c r="AH13" s="7"/>
    </row>
    <row r="14" spans="1:34" ht="15" customHeight="1">
      <c r="A14" s="19"/>
      <c r="B14" s="1146"/>
      <c r="C14" s="1147"/>
      <c r="D14" s="1147"/>
      <c r="E14" s="1147"/>
      <c r="F14" s="1148"/>
      <c r="G14" s="11"/>
      <c r="H14" s="13"/>
      <c r="I14" s="11"/>
      <c r="J14" s="13"/>
      <c r="L14" s="6"/>
      <c r="M14" s="2"/>
      <c r="O14" s="2"/>
      <c r="Q14" s="2"/>
      <c r="R14" s="2"/>
      <c r="S14" s="7"/>
      <c r="U14" s="21"/>
      <c r="V14" s="21"/>
      <c r="W14" s="21"/>
      <c r="X14" s="21"/>
      <c r="Y14" s="21"/>
      <c r="AA14" s="64"/>
      <c r="AB14" s="2"/>
      <c r="AD14" s="2"/>
      <c r="AF14" s="2"/>
      <c r="AG14" s="2"/>
      <c r="AH14" s="7"/>
    </row>
    <row r="15" spans="1:34">
      <c r="A15" s="17"/>
      <c r="B15" s="1146"/>
      <c r="C15" s="1147"/>
      <c r="D15" s="1147"/>
      <c r="E15" s="1147"/>
      <c r="F15" s="1148"/>
      <c r="G15" s="11"/>
      <c r="H15" s="13"/>
      <c r="I15" s="11"/>
      <c r="J15" s="13"/>
      <c r="L15" s="6"/>
      <c r="M15" s="2"/>
      <c r="O15" s="2"/>
      <c r="Q15" s="2"/>
      <c r="R15" s="2"/>
      <c r="S15" s="7"/>
      <c r="U15" s="21"/>
      <c r="V15" s="21"/>
      <c r="W15" s="21"/>
      <c r="X15" s="21"/>
      <c r="Y15" s="21"/>
      <c r="AA15" s="6"/>
      <c r="AB15" s="2"/>
      <c r="AD15" s="2"/>
      <c r="AF15" s="2"/>
      <c r="AG15" s="2"/>
      <c r="AH15" s="7"/>
    </row>
    <row r="16" spans="1:34">
      <c r="A16" s="17"/>
      <c r="B16" s="203"/>
      <c r="C16" s="204"/>
      <c r="D16" s="204"/>
      <c r="E16" s="204"/>
      <c r="F16" s="205"/>
      <c r="G16" s="11"/>
      <c r="H16" s="13"/>
      <c r="I16" s="11"/>
      <c r="J16" s="13"/>
      <c r="L16" s="6"/>
      <c r="M16" s="2"/>
      <c r="O16" s="2"/>
      <c r="Q16" s="2"/>
      <c r="R16" s="2"/>
      <c r="S16" s="7"/>
      <c r="U16" s="21"/>
      <c r="V16" s="21"/>
      <c r="W16" s="21"/>
      <c r="X16" s="21"/>
      <c r="Y16" s="21"/>
      <c r="AA16" s="6"/>
      <c r="AB16" s="2"/>
      <c r="AD16" s="2"/>
      <c r="AF16" s="2"/>
      <c r="AG16" s="2"/>
      <c r="AH16" s="7"/>
    </row>
    <row r="17" spans="1:34" hidden="1">
      <c r="A17" s="17"/>
      <c r="B17" s="203"/>
      <c r="C17" s="204"/>
      <c r="D17" s="204"/>
      <c r="E17" s="204"/>
      <c r="F17" s="205"/>
      <c r="G17" s="11"/>
      <c r="H17" s="13"/>
      <c r="I17" s="11"/>
      <c r="J17" s="13"/>
      <c r="L17" s="6"/>
      <c r="M17" s="2"/>
      <c r="O17" s="2"/>
      <c r="Q17" s="2"/>
      <c r="R17" s="2"/>
      <c r="S17" s="7"/>
      <c r="U17" s="21"/>
      <c r="V17" s="21"/>
      <c r="W17" s="21"/>
      <c r="X17" s="21"/>
      <c r="Y17" s="21"/>
      <c r="AA17" s="6"/>
      <c r="AB17" s="2"/>
      <c r="AD17" s="2"/>
      <c r="AF17" s="2"/>
      <c r="AG17" s="2"/>
      <c r="AH17" s="7"/>
    </row>
    <row r="18" spans="1:34" hidden="1">
      <c r="A18" s="17"/>
      <c r="B18" s="203"/>
      <c r="C18" s="204"/>
      <c r="D18" s="204"/>
      <c r="E18" s="204"/>
      <c r="F18" s="205"/>
      <c r="G18" s="11"/>
      <c r="H18" s="13"/>
      <c r="I18" s="11"/>
      <c r="J18" s="13"/>
      <c r="L18" s="6"/>
      <c r="M18" s="2"/>
      <c r="O18" s="2"/>
      <c r="Q18" s="2"/>
      <c r="R18" s="2"/>
      <c r="S18" s="7"/>
      <c r="U18" s="21"/>
      <c r="V18" s="21"/>
      <c r="W18" s="21"/>
      <c r="X18" s="21"/>
      <c r="Y18" s="21"/>
      <c r="AA18" s="6"/>
      <c r="AB18" s="2"/>
      <c r="AD18" s="2"/>
      <c r="AF18" s="2"/>
      <c r="AG18" s="2"/>
      <c r="AH18" s="7"/>
    </row>
    <row r="19" spans="1:34" hidden="1">
      <c r="A19" s="17"/>
      <c r="B19" t="s">
        <v>602</v>
      </c>
      <c r="C19" s="55"/>
      <c r="D19" s="55"/>
      <c r="E19" s="55"/>
      <c r="F19" s="56"/>
      <c r="G19" s="11"/>
      <c r="H19" s="13"/>
      <c r="I19" s="11"/>
      <c r="J19" s="13"/>
      <c r="L19" s="6"/>
      <c r="M19" s="2"/>
      <c r="O19" s="2"/>
      <c r="Q19" s="2"/>
      <c r="R19" s="2"/>
      <c r="S19" s="7"/>
      <c r="U19" s="21"/>
      <c r="V19" s="21"/>
      <c r="W19" s="21"/>
      <c r="X19" s="21"/>
      <c r="Y19" s="21"/>
      <c r="AA19" s="6"/>
      <c r="AB19" s="2"/>
      <c r="AD19" s="2"/>
      <c r="AF19" s="2"/>
      <c r="AG19" s="2"/>
      <c r="AH19" s="7"/>
    </row>
    <row r="20" spans="1:34" ht="15" hidden="1" customHeight="1">
      <c r="A20" s="17"/>
      <c r="C20" s="80" t="s">
        <v>263</v>
      </c>
      <c r="D20" s="55"/>
      <c r="E20" s="55"/>
      <c r="F20" s="56"/>
      <c r="G20" s="11"/>
      <c r="H20" s="13" t="s">
        <v>4</v>
      </c>
      <c r="I20" s="11">
        <v>711.92827688255352</v>
      </c>
      <c r="J20" s="13">
        <f>G20*I20</f>
        <v>0</v>
      </c>
      <c r="L20" s="64">
        <f>J20</f>
        <v>0</v>
      </c>
      <c r="M20" s="2"/>
      <c r="O20" s="2"/>
      <c r="Q20" s="2"/>
      <c r="R20" s="2"/>
      <c r="S20" s="7"/>
      <c r="U20" s="21"/>
      <c r="V20" s="21"/>
      <c r="W20" s="21"/>
      <c r="X20" s="21"/>
      <c r="Y20" s="21"/>
      <c r="AA20" s="6"/>
      <c r="AB20" s="2"/>
      <c r="AD20" s="2"/>
      <c r="AF20" s="2"/>
      <c r="AG20" s="2"/>
      <c r="AH20" s="7"/>
    </row>
    <row r="21" spans="1:34" hidden="1">
      <c r="A21" s="17"/>
      <c r="C21" s="80" t="s">
        <v>264</v>
      </c>
      <c r="D21" s="55"/>
      <c r="E21" s="55"/>
      <c r="F21" s="56"/>
      <c r="G21" s="11">
        <f>G20*2</f>
        <v>0</v>
      </c>
      <c r="H21" s="13" t="s">
        <v>4</v>
      </c>
      <c r="I21" s="11">
        <v>164.64500000000001</v>
      </c>
      <c r="J21" s="13">
        <f>G21*I21</f>
        <v>0</v>
      </c>
      <c r="L21" s="64">
        <f t="shared" ref="L21:L51" si="0">J21</f>
        <v>0</v>
      </c>
      <c r="M21" s="2"/>
      <c r="O21" s="2"/>
      <c r="Q21" s="2"/>
      <c r="R21" s="2"/>
      <c r="S21" s="7"/>
      <c r="U21" s="21"/>
      <c r="V21" s="21"/>
      <c r="W21" s="21"/>
      <c r="X21" s="21"/>
      <c r="Y21" s="21"/>
      <c r="AA21" s="6"/>
      <c r="AB21" s="2"/>
      <c r="AD21" s="2"/>
      <c r="AF21" s="2"/>
      <c r="AG21" s="2"/>
      <c r="AH21" s="7"/>
    </row>
    <row r="22" spans="1:34" hidden="1">
      <c r="A22" s="17"/>
      <c r="C22" s="80" t="s">
        <v>265</v>
      </c>
      <c r="D22" s="55"/>
      <c r="E22" s="55"/>
      <c r="F22" s="56"/>
      <c r="G22" s="11">
        <f>G20</f>
        <v>0</v>
      </c>
      <c r="H22" s="13" t="s">
        <v>4</v>
      </c>
      <c r="I22" s="11">
        <f>'4. Off Site Wks'!I31</f>
        <v>346.39338653948715</v>
      </c>
      <c r="J22" s="13">
        <f>G22*I22</f>
        <v>0</v>
      </c>
      <c r="L22" s="64">
        <f t="shared" si="0"/>
        <v>0</v>
      </c>
      <c r="M22" s="2"/>
      <c r="O22" s="2"/>
      <c r="Q22" s="2"/>
      <c r="R22" s="2"/>
      <c r="S22" s="7"/>
      <c r="U22" s="21"/>
      <c r="V22" s="21"/>
      <c r="W22" s="21"/>
      <c r="X22" s="21"/>
      <c r="Y22" s="21"/>
      <c r="AA22" s="6"/>
      <c r="AB22" s="2"/>
      <c r="AD22" s="2"/>
      <c r="AF22" s="2"/>
      <c r="AG22" s="2"/>
      <c r="AH22" s="7"/>
    </row>
    <row r="23" spans="1:34" hidden="1">
      <c r="A23" s="17"/>
      <c r="F23" s="56"/>
      <c r="G23" s="11"/>
      <c r="H23" s="13"/>
      <c r="I23" s="11"/>
      <c r="J23" s="13"/>
      <c r="L23" s="64">
        <f t="shared" si="0"/>
        <v>0</v>
      </c>
      <c r="M23" s="2"/>
      <c r="O23" s="2"/>
      <c r="Q23" s="2"/>
      <c r="R23" s="2"/>
      <c r="S23" s="7"/>
      <c r="U23" s="21"/>
      <c r="V23" s="21"/>
      <c r="W23" s="21"/>
      <c r="X23" s="21"/>
      <c r="Y23" s="21"/>
      <c r="AA23" s="64"/>
      <c r="AB23" s="2"/>
      <c r="AD23" s="2"/>
      <c r="AF23" s="2"/>
      <c r="AG23" s="2"/>
      <c r="AH23" s="7"/>
    </row>
    <row r="24" spans="1:34" ht="15" hidden="1" customHeight="1">
      <c r="A24" s="17"/>
      <c r="B24" t="s">
        <v>603</v>
      </c>
      <c r="C24" s="55"/>
      <c r="D24" s="55"/>
      <c r="E24" s="55"/>
      <c r="F24" s="56"/>
      <c r="G24" s="11"/>
      <c r="H24" s="13"/>
      <c r="I24" s="11"/>
      <c r="J24" s="13"/>
      <c r="L24" s="64">
        <f t="shared" si="0"/>
        <v>0</v>
      </c>
      <c r="M24" s="2"/>
      <c r="O24" s="2"/>
      <c r="Q24" s="2"/>
      <c r="R24" s="2"/>
      <c r="S24" s="7"/>
      <c r="U24" s="21"/>
      <c r="V24" s="21"/>
      <c r="W24" s="21"/>
      <c r="X24" s="21"/>
      <c r="Y24" s="21"/>
      <c r="AA24" s="6"/>
      <c r="AB24" s="2"/>
      <c r="AD24" s="2"/>
      <c r="AF24" s="2"/>
      <c r="AG24" s="2"/>
      <c r="AH24" s="7"/>
    </row>
    <row r="25" spans="1:34" hidden="1">
      <c r="A25" s="17"/>
      <c r="C25" s="80" t="s">
        <v>263</v>
      </c>
      <c r="D25" s="55"/>
      <c r="E25" s="55"/>
      <c r="F25" s="56"/>
      <c r="G25" s="11"/>
      <c r="H25" s="13" t="s">
        <v>4</v>
      </c>
      <c r="I25" s="11">
        <f>I20*0.5</f>
        <v>355.96413844127676</v>
      </c>
      <c r="J25" s="13">
        <f>G25*I25</f>
        <v>0</v>
      </c>
      <c r="L25" s="64">
        <f t="shared" si="0"/>
        <v>0</v>
      </c>
      <c r="M25" s="2"/>
      <c r="O25" s="2"/>
      <c r="Q25" s="2"/>
      <c r="R25" s="2"/>
      <c r="S25" s="7"/>
      <c r="U25" s="21"/>
      <c r="V25" s="21"/>
      <c r="W25" s="21"/>
      <c r="X25" s="21"/>
      <c r="Y25" s="21"/>
      <c r="AA25" s="6"/>
      <c r="AB25" s="2"/>
      <c r="AD25" s="2"/>
      <c r="AF25" s="2"/>
      <c r="AG25" s="2"/>
      <c r="AH25" s="7"/>
    </row>
    <row r="26" spans="1:34" hidden="1">
      <c r="A26" s="17"/>
      <c r="C26" s="80" t="s">
        <v>264</v>
      </c>
      <c r="D26" s="55"/>
      <c r="E26" s="55"/>
      <c r="F26" s="56"/>
      <c r="G26" s="11">
        <f>G25*2</f>
        <v>0</v>
      </c>
      <c r="H26" s="13" t="s">
        <v>4</v>
      </c>
      <c r="I26" s="11">
        <f>I21*0.5</f>
        <v>82.322500000000005</v>
      </c>
      <c r="J26" s="13">
        <f>G26*I26</f>
        <v>0</v>
      </c>
      <c r="L26" s="64">
        <f t="shared" si="0"/>
        <v>0</v>
      </c>
      <c r="M26" s="2"/>
      <c r="O26" s="2"/>
      <c r="Q26" s="2"/>
      <c r="R26" s="2"/>
      <c r="S26" s="7"/>
      <c r="U26" s="21"/>
      <c r="V26" s="21"/>
      <c r="W26" s="21"/>
      <c r="X26" s="21"/>
      <c r="Y26" s="21"/>
      <c r="AA26" s="6"/>
      <c r="AB26" s="2"/>
      <c r="AD26" s="2"/>
      <c r="AF26" s="2"/>
      <c r="AG26" s="2"/>
      <c r="AH26" s="7"/>
    </row>
    <row r="27" spans="1:34" hidden="1">
      <c r="A27" s="17"/>
      <c r="C27" s="80" t="s">
        <v>266</v>
      </c>
      <c r="D27" s="55"/>
      <c r="E27" s="55"/>
      <c r="F27" s="56"/>
      <c r="G27" s="11">
        <f>G25*0.5</f>
        <v>0</v>
      </c>
      <c r="H27" s="13" t="s">
        <v>4</v>
      </c>
      <c r="I27" s="11">
        <f>I22*0.5</f>
        <v>173.19669326974358</v>
      </c>
      <c r="J27" s="13">
        <f>G27*I27</f>
        <v>0</v>
      </c>
      <c r="L27" s="64">
        <f t="shared" si="0"/>
        <v>0</v>
      </c>
      <c r="M27" s="2"/>
      <c r="O27" s="2"/>
      <c r="Q27" s="2"/>
      <c r="R27" s="2"/>
      <c r="S27" s="7"/>
      <c r="U27" s="21"/>
      <c r="V27" s="21"/>
      <c r="W27" s="21"/>
      <c r="X27" s="21"/>
      <c r="Y27" s="21"/>
      <c r="AA27" s="64"/>
      <c r="AB27" s="2"/>
      <c r="AD27" s="2"/>
      <c r="AF27" s="2"/>
      <c r="AG27" s="2"/>
      <c r="AH27" s="7"/>
    </row>
    <row r="28" spans="1:34">
      <c r="A28" s="17"/>
      <c r="F28" s="56"/>
      <c r="G28" s="11"/>
      <c r="H28" s="13"/>
      <c r="I28" s="11"/>
      <c r="J28" s="13"/>
      <c r="L28" s="64">
        <f t="shared" si="0"/>
        <v>0</v>
      </c>
      <c r="M28" s="2"/>
      <c r="O28" s="2"/>
      <c r="Q28" s="2"/>
      <c r="R28" s="2"/>
      <c r="S28" s="7"/>
      <c r="U28" s="21"/>
      <c r="V28" s="21"/>
      <c r="W28" s="21"/>
      <c r="X28" s="21"/>
      <c r="Y28" s="21"/>
      <c r="AA28" s="6"/>
      <c r="AB28" s="2"/>
      <c r="AD28" s="2"/>
      <c r="AE28" s="2"/>
      <c r="AF28" s="2"/>
      <c r="AG28" s="2"/>
      <c r="AH28" s="7"/>
    </row>
    <row r="29" spans="1:34">
      <c r="A29" s="17"/>
      <c r="B29" t="s">
        <v>585</v>
      </c>
      <c r="C29" s="55"/>
      <c r="D29" s="55"/>
      <c r="E29" s="55"/>
      <c r="F29" s="56"/>
      <c r="G29" s="11"/>
      <c r="H29" s="13"/>
      <c r="I29" s="11"/>
      <c r="J29" s="13"/>
      <c r="L29" s="64">
        <f t="shared" si="0"/>
        <v>0</v>
      </c>
      <c r="M29" s="2"/>
      <c r="O29" s="2"/>
      <c r="Q29" s="2"/>
      <c r="R29" s="2"/>
      <c r="S29" s="7"/>
      <c r="U29" s="21"/>
      <c r="V29" s="21"/>
      <c r="W29" s="21"/>
      <c r="X29" s="21"/>
      <c r="Y29" s="21"/>
      <c r="AA29" s="6"/>
      <c r="AB29" s="2"/>
      <c r="AD29" s="2"/>
      <c r="AE29" s="2"/>
      <c r="AG29" s="2"/>
      <c r="AH29" s="7"/>
    </row>
    <row r="30" spans="1:34">
      <c r="A30" s="17"/>
      <c r="C30" s="80" t="s">
        <v>268</v>
      </c>
      <c r="D30" s="55"/>
      <c r="E30" s="55"/>
      <c r="F30" s="56"/>
      <c r="G30" s="11">
        <f>50+160</f>
        <v>210</v>
      </c>
      <c r="H30" s="13" t="s">
        <v>4</v>
      </c>
      <c r="I30" s="11">
        <f>'4. Off Site Wks'!I27</f>
        <v>854.9316598219184</v>
      </c>
      <c r="J30" s="13">
        <f>G30*I30</f>
        <v>179535.64856260287</v>
      </c>
      <c r="L30" s="64">
        <f t="shared" si="0"/>
        <v>179535.64856260287</v>
      </c>
      <c r="M30" s="2"/>
      <c r="O30" s="2"/>
      <c r="Q30" s="2"/>
      <c r="R30" s="2"/>
      <c r="S30" s="7"/>
      <c r="U30" s="21"/>
      <c r="V30" s="21"/>
      <c r="W30" s="21"/>
      <c r="X30" s="21"/>
      <c r="Y30" s="21"/>
      <c r="AA30" s="6"/>
      <c r="AB30" s="2"/>
      <c r="AD30" s="2"/>
      <c r="AE30" s="2"/>
      <c r="AG30" s="2"/>
      <c r="AH30" s="7"/>
    </row>
    <row r="31" spans="1:34" ht="15" customHeight="1">
      <c r="A31" s="17"/>
      <c r="C31" s="80" t="s">
        <v>264</v>
      </c>
      <c r="D31" s="55"/>
      <c r="E31" s="55"/>
      <c r="F31" s="56"/>
      <c r="G31" s="11">
        <f>G30*2</f>
        <v>420</v>
      </c>
      <c r="H31" s="13" t="s">
        <v>4</v>
      </c>
      <c r="I31" s="11">
        <f>I21</f>
        <v>164.64500000000001</v>
      </c>
      <c r="J31" s="13">
        <f>G31*I31</f>
        <v>69150.900000000009</v>
      </c>
      <c r="L31" s="64">
        <f t="shared" si="0"/>
        <v>69150.900000000009</v>
      </c>
      <c r="M31" s="2"/>
      <c r="O31" s="2"/>
      <c r="Q31" s="2"/>
      <c r="R31" s="2"/>
      <c r="S31" s="7"/>
      <c r="U31" s="21"/>
      <c r="V31" s="21"/>
      <c r="W31" s="21"/>
      <c r="X31" s="21"/>
      <c r="Y31" s="21"/>
      <c r="AA31" s="64"/>
      <c r="AB31" s="2"/>
      <c r="AD31" s="2"/>
      <c r="AE31" s="2"/>
      <c r="AG31" s="2"/>
      <c r="AH31" s="7"/>
    </row>
    <row r="32" spans="1:34">
      <c r="A32" s="17"/>
      <c r="C32" s="80" t="s">
        <v>266</v>
      </c>
      <c r="D32" s="55"/>
      <c r="E32" s="55"/>
      <c r="F32" s="56"/>
      <c r="G32" s="11">
        <f>G30</f>
        <v>210</v>
      </c>
      <c r="H32" s="13" t="s">
        <v>4</v>
      </c>
      <c r="I32" s="11">
        <f>I22</f>
        <v>346.39338653948715</v>
      </c>
      <c r="J32" s="13">
        <f>G32*I32</f>
        <v>72742.611173292302</v>
      </c>
      <c r="L32" s="64">
        <f t="shared" si="0"/>
        <v>72742.611173292302</v>
      </c>
      <c r="M32" s="2"/>
      <c r="O32" s="2"/>
      <c r="Q32" s="2"/>
      <c r="R32" s="2"/>
      <c r="S32" s="7"/>
      <c r="U32" s="21"/>
      <c r="V32" s="21"/>
      <c r="W32" s="21"/>
      <c r="X32" s="21"/>
      <c r="Y32" s="21"/>
      <c r="AA32" s="64"/>
      <c r="AB32" s="2"/>
      <c r="AD32" s="2"/>
      <c r="AE32" s="2"/>
      <c r="AG32" s="2"/>
      <c r="AH32" s="7"/>
    </row>
    <row r="33" spans="1:34">
      <c r="A33" s="17"/>
      <c r="F33" s="56"/>
      <c r="G33" s="11"/>
      <c r="H33" s="13"/>
      <c r="I33" s="11"/>
      <c r="J33" s="13"/>
      <c r="L33" s="64">
        <f t="shared" si="0"/>
        <v>0</v>
      </c>
      <c r="M33" s="2"/>
      <c r="O33" s="2"/>
      <c r="Q33" s="2"/>
      <c r="R33" s="2"/>
      <c r="S33" s="7"/>
      <c r="U33" s="21"/>
      <c r="V33" s="21"/>
      <c r="W33" s="21"/>
      <c r="X33" s="21"/>
      <c r="Y33" s="21"/>
      <c r="AA33" s="6"/>
      <c r="AB33" s="2"/>
      <c r="AD33" s="2"/>
      <c r="AE33" s="2"/>
      <c r="AF33" s="2"/>
      <c r="AG33" s="2"/>
      <c r="AH33" s="7"/>
    </row>
    <row r="34" spans="1:34">
      <c r="A34" s="17"/>
      <c r="B34" t="s">
        <v>267</v>
      </c>
      <c r="C34" s="55"/>
      <c r="D34" s="55"/>
      <c r="E34" s="55"/>
      <c r="F34" s="56"/>
      <c r="G34" s="11"/>
      <c r="H34" s="13"/>
      <c r="I34" s="11"/>
      <c r="J34" s="13"/>
      <c r="L34" s="64">
        <f t="shared" si="0"/>
        <v>0</v>
      </c>
      <c r="M34" s="2"/>
      <c r="O34" s="2"/>
      <c r="Q34" s="2"/>
      <c r="R34" s="2"/>
      <c r="S34" s="7"/>
      <c r="U34" s="21"/>
      <c r="V34" s="21"/>
      <c r="W34" s="21"/>
      <c r="X34" s="21"/>
      <c r="Y34" s="21"/>
      <c r="AA34" s="6"/>
      <c r="AB34" s="2"/>
      <c r="AD34" s="2"/>
      <c r="AE34" s="2"/>
      <c r="AG34" s="2"/>
      <c r="AH34" s="7"/>
    </row>
    <row r="35" spans="1:34">
      <c r="A35" s="17"/>
      <c r="C35" s="80" t="s">
        <v>268</v>
      </c>
      <c r="D35" s="55"/>
      <c r="E35" s="55"/>
      <c r="F35" s="56"/>
      <c r="G35" s="11">
        <f>160+80+50+65+45+320+110</f>
        <v>830</v>
      </c>
      <c r="H35" s="13" t="s">
        <v>4</v>
      </c>
      <c r="I35" s="11">
        <f>I30/2</f>
        <v>427.4658299109592</v>
      </c>
      <c r="J35" s="13">
        <f>G35*I35</f>
        <v>354796.63882609614</v>
      </c>
      <c r="L35" s="64">
        <f t="shared" si="0"/>
        <v>354796.63882609614</v>
      </c>
      <c r="M35" s="2"/>
      <c r="O35" s="2"/>
      <c r="Q35" s="2"/>
      <c r="R35" s="2"/>
      <c r="S35" s="7"/>
      <c r="U35" s="21"/>
      <c r="V35" s="21"/>
      <c r="W35" s="21"/>
      <c r="X35" s="21"/>
      <c r="Y35" s="21"/>
      <c r="AA35" s="6"/>
      <c r="AB35" s="2"/>
      <c r="AD35" s="2"/>
      <c r="AE35" s="2"/>
      <c r="AG35" s="2"/>
      <c r="AH35" s="7"/>
    </row>
    <row r="36" spans="1:34" ht="15" customHeight="1">
      <c r="A36" s="17"/>
      <c r="C36" s="80" t="s">
        <v>264</v>
      </c>
      <c r="D36" s="55"/>
      <c r="E36" s="55"/>
      <c r="F36" s="56"/>
      <c r="G36" s="11">
        <f>G35*2</f>
        <v>1660</v>
      </c>
      <c r="H36" s="13" t="s">
        <v>4</v>
      </c>
      <c r="I36" s="11">
        <f>I31/2</f>
        <v>82.322500000000005</v>
      </c>
      <c r="J36" s="13">
        <f>G36*I36</f>
        <v>136655.35</v>
      </c>
      <c r="L36" s="64">
        <f t="shared" si="0"/>
        <v>136655.35</v>
      </c>
      <c r="M36" s="2"/>
      <c r="O36" s="2"/>
      <c r="Q36" s="2"/>
      <c r="R36" s="2"/>
      <c r="S36" s="7"/>
      <c r="U36" s="21"/>
      <c r="V36" s="21"/>
      <c r="W36" s="21"/>
      <c r="X36" s="21"/>
      <c r="Y36" s="21"/>
      <c r="AA36" s="64"/>
      <c r="AB36" s="2"/>
      <c r="AD36" s="2"/>
      <c r="AE36" s="2"/>
      <c r="AG36" s="2"/>
      <c r="AH36" s="7"/>
    </row>
    <row r="37" spans="1:34">
      <c r="A37" s="17"/>
      <c r="C37" s="80" t="s">
        <v>266</v>
      </c>
      <c r="D37" s="55"/>
      <c r="E37" s="55"/>
      <c r="F37" s="56"/>
      <c r="G37" s="11">
        <f>G35</f>
        <v>830</v>
      </c>
      <c r="H37" s="13" t="s">
        <v>4</v>
      </c>
      <c r="I37" s="11">
        <f>I32/2</f>
        <v>173.19669326974358</v>
      </c>
      <c r="J37" s="13">
        <f>G37*I37</f>
        <v>143753.25541388718</v>
      </c>
      <c r="L37" s="64">
        <f t="shared" si="0"/>
        <v>143753.25541388718</v>
      </c>
      <c r="M37" s="2"/>
      <c r="O37" s="2"/>
      <c r="Q37" s="2"/>
      <c r="R37" s="2"/>
      <c r="S37" s="7"/>
      <c r="U37" s="21"/>
      <c r="V37" s="21"/>
      <c r="W37" s="21"/>
      <c r="X37" s="21"/>
      <c r="Y37" s="21"/>
      <c r="AA37" s="64"/>
      <c r="AB37" s="2"/>
      <c r="AD37" s="2"/>
      <c r="AE37" s="2"/>
      <c r="AG37" s="2"/>
      <c r="AH37" s="7"/>
    </row>
    <row r="38" spans="1:34">
      <c r="A38" s="17"/>
      <c r="F38" s="56"/>
      <c r="G38" s="11"/>
      <c r="H38" s="13"/>
      <c r="I38" s="11"/>
      <c r="J38" s="13"/>
      <c r="L38" s="64">
        <f t="shared" si="0"/>
        <v>0</v>
      </c>
      <c r="M38" s="2"/>
      <c r="O38" s="2"/>
      <c r="Q38" s="2"/>
      <c r="R38" s="2"/>
      <c r="S38" s="7"/>
      <c r="U38" s="21"/>
      <c r="V38" s="21"/>
      <c r="W38" s="21"/>
      <c r="X38" s="21"/>
      <c r="Y38" s="21"/>
      <c r="AA38" s="64"/>
      <c r="AB38" s="2"/>
      <c r="AD38" s="2"/>
      <c r="AE38" s="2"/>
      <c r="AG38" s="2"/>
      <c r="AH38" s="7"/>
    </row>
    <row r="39" spans="1:34">
      <c r="A39" s="17"/>
      <c r="C39" s="55"/>
      <c r="D39" s="55"/>
      <c r="E39" s="55"/>
      <c r="F39" s="56"/>
      <c r="G39" s="11"/>
      <c r="H39" s="13"/>
      <c r="I39" s="11"/>
      <c r="J39" s="13"/>
      <c r="L39" s="64">
        <f t="shared" si="0"/>
        <v>0</v>
      </c>
      <c r="M39" s="2"/>
      <c r="O39" s="2"/>
      <c r="Q39" s="2"/>
      <c r="R39" s="2"/>
      <c r="S39" s="7"/>
      <c r="U39" s="21"/>
      <c r="V39" s="21"/>
      <c r="W39" s="21"/>
      <c r="X39" s="21"/>
      <c r="Y39" s="21"/>
      <c r="AA39" s="6"/>
      <c r="AB39" s="2"/>
      <c r="AD39" s="2"/>
      <c r="AE39" s="2"/>
      <c r="AG39" s="2"/>
      <c r="AH39" s="7"/>
    </row>
    <row r="40" spans="1:34">
      <c r="A40" s="17"/>
      <c r="F40" s="56"/>
      <c r="G40" s="11"/>
      <c r="H40" s="13"/>
      <c r="I40" s="11"/>
      <c r="J40" s="13"/>
      <c r="L40" s="64">
        <f t="shared" si="0"/>
        <v>0</v>
      </c>
      <c r="M40" s="2"/>
      <c r="O40" s="2"/>
      <c r="Q40" s="2"/>
      <c r="R40" s="2"/>
      <c r="S40" s="7"/>
    </row>
    <row r="41" spans="1:34">
      <c r="A41" s="17"/>
      <c r="B41" t="s">
        <v>269</v>
      </c>
      <c r="C41" s="55"/>
      <c r="D41" s="55"/>
      <c r="E41" s="55"/>
      <c r="F41" s="56"/>
      <c r="G41" s="11">
        <f>G30</f>
        <v>210</v>
      </c>
      <c r="H41" s="13" t="s">
        <v>4</v>
      </c>
      <c r="I41" s="11"/>
      <c r="J41" s="13"/>
      <c r="L41" s="64">
        <f t="shared" si="0"/>
        <v>0</v>
      </c>
      <c r="M41" s="2"/>
      <c r="O41" s="2"/>
      <c r="Q41" s="2"/>
      <c r="R41" s="2"/>
      <c r="S41" s="7"/>
    </row>
    <row r="42" spans="1:34">
      <c r="A42" s="17"/>
      <c r="C42" s="45" t="s">
        <v>270</v>
      </c>
      <c r="D42" s="55"/>
      <c r="E42" s="55"/>
      <c r="F42" s="56"/>
      <c r="G42" s="11">
        <f>G41/30+1</f>
        <v>8</v>
      </c>
      <c r="H42" s="13" t="s">
        <v>19</v>
      </c>
      <c r="I42" s="11">
        <v>1450</v>
      </c>
      <c r="J42" s="13">
        <f>G42*I42</f>
        <v>11600</v>
      </c>
      <c r="L42" s="64">
        <f t="shared" si="0"/>
        <v>11600</v>
      </c>
      <c r="M42" s="2"/>
      <c r="O42" s="2"/>
      <c r="Q42" s="2"/>
      <c r="R42" s="2"/>
      <c r="S42" s="7"/>
    </row>
    <row r="43" spans="1:34">
      <c r="A43" s="17"/>
      <c r="C43" s="45" t="s">
        <v>271</v>
      </c>
      <c r="D43" s="55"/>
      <c r="E43" s="55"/>
      <c r="F43" s="56"/>
      <c r="G43" s="11">
        <f>G42</f>
        <v>8</v>
      </c>
      <c r="H43" s="13" t="s">
        <v>19</v>
      </c>
      <c r="I43" s="11">
        <v>850</v>
      </c>
      <c r="J43" s="13">
        <f>G43*I43</f>
        <v>6800</v>
      </c>
      <c r="L43" s="64">
        <f t="shared" si="0"/>
        <v>6800</v>
      </c>
      <c r="M43" s="2"/>
      <c r="O43" s="2"/>
      <c r="Q43" s="2"/>
      <c r="R43" s="2"/>
      <c r="S43" s="7"/>
    </row>
    <row r="44" spans="1:34">
      <c r="A44" s="17"/>
      <c r="F44" s="56"/>
      <c r="G44" s="11"/>
      <c r="H44" s="13"/>
      <c r="I44" s="11"/>
      <c r="J44" s="13"/>
      <c r="L44" s="64">
        <f t="shared" si="0"/>
        <v>0</v>
      </c>
      <c r="M44" s="2"/>
      <c r="O44" s="2"/>
      <c r="Q44" s="2"/>
      <c r="R44" s="2"/>
      <c r="S44" s="7"/>
    </row>
    <row r="45" spans="1:34">
      <c r="A45" s="17"/>
      <c r="B45" t="s">
        <v>272</v>
      </c>
      <c r="C45" s="29"/>
      <c r="D45" s="29"/>
      <c r="E45" s="29"/>
      <c r="F45" s="56"/>
      <c r="G45" s="11">
        <f>G25+G35</f>
        <v>830</v>
      </c>
      <c r="H45" s="13" t="s">
        <v>4</v>
      </c>
      <c r="I45" s="11"/>
      <c r="J45" s="13"/>
      <c r="L45" s="64">
        <f t="shared" si="0"/>
        <v>0</v>
      </c>
      <c r="M45" s="2"/>
      <c r="O45" s="2"/>
      <c r="Q45" s="2"/>
      <c r="R45" s="2"/>
      <c r="S45" s="7"/>
    </row>
    <row r="46" spans="1:34">
      <c r="A46" s="17"/>
      <c r="C46" s="45" t="s">
        <v>270</v>
      </c>
      <c r="D46" s="55"/>
      <c r="E46" s="55"/>
      <c r="F46" s="56"/>
      <c r="G46" s="11">
        <f>ROUNDUP(G45/30+1,0)</f>
        <v>29</v>
      </c>
      <c r="H46" s="13" t="s">
        <v>19</v>
      </c>
      <c r="I46" s="11">
        <f>I42*0.5</f>
        <v>725</v>
      </c>
      <c r="J46" s="13">
        <f>G46*I46</f>
        <v>21025</v>
      </c>
      <c r="L46" s="64">
        <f t="shared" si="0"/>
        <v>21025</v>
      </c>
      <c r="M46" s="2"/>
      <c r="O46" s="2"/>
      <c r="Q46" s="2"/>
      <c r="R46" s="2"/>
      <c r="S46" s="7"/>
    </row>
    <row r="47" spans="1:34">
      <c r="A47" s="17"/>
      <c r="C47" s="45" t="s">
        <v>271</v>
      </c>
      <c r="D47" s="55"/>
      <c r="E47" s="55"/>
      <c r="F47" s="56"/>
      <c r="G47" s="11">
        <f>G46</f>
        <v>29</v>
      </c>
      <c r="H47" s="13" t="s">
        <v>19</v>
      </c>
      <c r="I47" s="11">
        <f>I43*0.5</f>
        <v>425</v>
      </c>
      <c r="J47" s="13">
        <f>G47*I47</f>
        <v>12325</v>
      </c>
      <c r="L47" s="64">
        <f t="shared" si="0"/>
        <v>12325</v>
      </c>
      <c r="M47" s="2"/>
      <c r="O47" s="2"/>
      <c r="Q47" s="2"/>
      <c r="R47" s="2"/>
      <c r="S47" s="7"/>
    </row>
    <row r="48" spans="1:34">
      <c r="A48" s="17"/>
      <c r="F48" s="7"/>
      <c r="G48" s="11"/>
      <c r="H48" s="13"/>
      <c r="I48" s="11"/>
      <c r="J48" s="13"/>
      <c r="L48" s="64">
        <f t="shared" si="0"/>
        <v>0</v>
      </c>
      <c r="M48" s="2"/>
      <c r="O48" s="2"/>
      <c r="Q48" s="2"/>
      <c r="R48" s="2"/>
      <c r="S48" s="7"/>
    </row>
    <row r="49" spans="1:19">
      <c r="A49" s="17"/>
      <c r="B49" t="s">
        <v>273</v>
      </c>
      <c r="C49" s="55"/>
      <c r="D49" s="55"/>
      <c r="E49" s="55"/>
      <c r="F49" s="7"/>
      <c r="G49" s="11"/>
      <c r="H49" s="13"/>
      <c r="I49" s="11"/>
      <c r="J49" s="13"/>
      <c r="L49" s="64">
        <f t="shared" si="0"/>
        <v>0</v>
      </c>
      <c r="M49" s="2"/>
      <c r="O49" s="2"/>
      <c r="Q49" s="2"/>
      <c r="R49" s="2"/>
      <c r="S49" s="7"/>
    </row>
    <row r="50" spans="1:19">
      <c r="A50" s="17"/>
      <c r="B50" s="44"/>
      <c r="C50" s="80" t="s">
        <v>274</v>
      </c>
      <c r="D50" s="55"/>
      <c r="E50" s="55"/>
      <c r="F50" s="56"/>
      <c r="G50" s="11">
        <f>(G30+10.5*0.45)+(G35*10.5*0.5*0.45)</f>
        <v>2175.6</v>
      </c>
      <c r="H50" s="13" t="s">
        <v>18</v>
      </c>
      <c r="I50" s="11">
        <f>'5. Cut &amp; Fill'!I45</f>
        <v>0</v>
      </c>
      <c r="J50" s="13">
        <f>G50*I50</f>
        <v>0</v>
      </c>
      <c r="L50" s="64">
        <f t="shared" si="0"/>
        <v>0</v>
      </c>
      <c r="M50" s="2"/>
      <c r="O50" s="2"/>
      <c r="Q50" s="2"/>
      <c r="R50" s="2"/>
      <c r="S50" s="7"/>
    </row>
    <row r="51" spans="1:19">
      <c r="A51" s="17"/>
      <c r="B51" s="6"/>
      <c r="C51" s="80"/>
      <c r="D51" s="29"/>
      <c r="F51" s="7"/>
      <c r="G51" s="11"/>
      <c r="H51" s="13"/>
      <c r="I51" s="11"/>
      <c r="J51" s="13"/>
      <c r="L51" s="64">
        <f t="shared" si="0"/>
        <v>0</v>
      </c>
      <c r="M51" s="2"/>
      <c r="O51" s="2"/>
      <c r="Q51" s="2"/>
      <c r="R51" s="2"/>
      <c r="S51" s="7"/>
    </row>
    <row r="52" spans="1:19">
      <c r="A52" s="17"/>
      <c r="B52" s="6"/>
      <c r="C52" s="80"/>
      <c r="F52" s="7"/>
      <c r="G52" s="11"/>
      <c r="H52" s="13"/>
      <c r="I52" s="11"/>
      <c r="J52" s="13"/>
      <c r="L52" s="6"/>
      <c r="M52" s="2"/>
      <c r="O52" s="2"/>
      <c r="Q52" s="2"/>
      <c r="R52" s="2"/>
      <c r="S52" s="7"/>
    </row>
    <row r="53" spans="1:19">
      <c r="A53" s="17"/>
      <c r="B53" s="6"/>
      <c r="F53" s="7"/>
      <c r="G53" s="11"/>
      <c r="H53" s="13"/>
      <c r="I53" s="11"/>
      <c r="J53" s="13"/>
      <c r="L53" s="6"/>
      <c r="M53" s="2"/>
      <c r="O53" s="2"/>
      <c r="Q53" s="2"/>
      <c r="R53" s="2"/>
      <c r="S53" s="7"/>
    </row>
    <row r="54" spans="1:19" ht="16" thickBot="1">
      <c r="A54" s="17"/>
      <c r="B54" s="6"/>
      <c r="F54" s="7"/>
      <c r="G54" s="11"/>
      <c r="H54" s="13"/>
      <c r="I54" s="11"/>
      <c r="J54" s="47">
        <f>SUM(J9:J52)</f>
        <v>1008384.4039758786</v>
      </c>
      <c r="L54" s="47">
        <f t="shared" ref="L54:S54" si="1">SUM(L9:L52)</f>
        <v>1008384.4039758786</v>
      </c>
      <c r="M54" s="47">
        <f t="shared" si="1"/>
        <v>0</v>
      </c>
      <c r="N54" s="47">
        <f t="shared" si="1"/>
        <v>0</v>
      </c>
      <c r="O54" s="47">
        <f t="shared" si="1"/>
        <v>0</v>
      </c>
      <c r="P54" s="47">
        <f t="shared" si="1"/>
        <v>0</v>
      </c>
      <c r="Q54" s="47">
        <f t="shared" si="1"/>
        <v>0</v>
      </c>
      <c r="R54" s="47">
        <f t="shared" si="1"/>
        <v>0</v>
      </c>
      <c r="S54" s="47">
        <f t="shared" si="1"/>
        <v>0</v>
      </c>
    </row>
    <row r="55" spans="1:19">
      <c r="A55" s="18"/>
      <c r="B55" s="8"/>
      <c r="C55" s="9"/>
      <c r="D55" s="9"/>
      <c r="E55" s="9"/>
      <c r="F55" s="10"/>
      <c r="G55" s="14"/>
      <c r="H55" s="15"/>
      <c r="I55" s="23"/>
      <c r="J55" s="15"/>
      <c r="L55" s="8"/>
      <c r="M55" s="63"/>
      <c r="N55" s="9"/>
      <c r="O55" s="63"/>
      <c r="P55" s="9"/>
      <c r="Q55" s="63"/>
      <c r="R55" s="63"/>
      <c r="S55" s="10"/>
    </row>
  </sheetData>
  <mergeCells count="20">
    <mergeCell ref="I5:I8"/>
    <mergeCell ref="H2:I2"/>
    <mergeCell ref="J5:J8"/>
    <mergeCell ref="AA5:AH5"/>
    <mergeCell ref="AA6:AE6"/>
    <mergeCell ref="AF6:AF7"/>
    <mergeCell ref="AG6:AG7"/>
    <mergeCell ref="AH6:AH7"/>
    <mergeCell ref="L5:S5"/>
    <mergeCell ref="Q6:Q7"/>
    <mergeCell ref="R6:R7"/>
    <mergeCell ref="S6:S7"/>
    <mergeCell ref="L6:M6"/>
    <mergeCell ref="N6:O6"/>
    <mergeCell ref="P6:P7"/>
    <mergeCell ref="B12:F15"/>
    <mergeCell ref="A5:A8"/>
    <mergeCell ref="B5:F8"/>
    <mergeCell ref="G5:G8"/>
    <mergeCell ref="H5:H8"/>
  </mergeCells>
  <printOptions horizontalCentered="1"/>
  <pageMargins left="0.261811024" right="0.511811023622047" top="0.55118110236220497" bottom="0.55118110236220497" header="0.31496062992126" footer="0.31496062992126"/>
  <pageSetup paperSize="9" scale="33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6" tint="0.39997558519241921"/>
    <pageSetUpPr fitToPage="1"/>
  </sheetPr>
  <dimension ref="A1:BB34"/>
  <sheetViews>
    <sheetView workbookViewId="0">
      <selection activeCell="L1" sqref="L1:T1048576"/>
    </sheetView>
  </sheetViews>
  <sheetFormatPr baseColWidth="10" defaultColWidth="8.83203125" defaultRowHeight="15"/>
  <cols>
    <col min="1" max="1" width="4" customWidth="1"/>
    <col min="7" max="7" width="10.1640625" bestFit="1" customWidth="1"/>
    <col min="8" max="8" width="6.5" customWidth="1"/>
    <col min="9" max="9" width="13.33203125" customWidth="1"/>
    <col min="10" max="10" width="13" customWidth="1"/>
    <col min="11" max="11" width="1.83203125" customWidth="1"/>
    <col min="12" max="12" width="14.33203125" hidden="1" customWidth="1"/>
    <col min="13" max="19" width="11.6640625" hidden="1" customWidth="1"/>
    <col min="20" max="20" width="0" hidden="1" customWidth="1"/>
    <col min="21" max="25" width="13" customWidth="1"/>
    <col min="26" max="26" width="2.6640625" customWidth="1"/>
    <col min="27" max="34" width="12.6640625" hidden="1" customWidth="1"/>
  </cols>
  <sheetData>
    <row r="1" spans="1:34" s="1" customFormat="1"/>
    <row r="2" spans="1:34" s="1" customFormat="1" ht="13.5" customHeight="1">
      <c r="B2" s="1" t="str">
        <f>'Breakdown Summary'!B2</f>
        <v>Trows Farm, Castleton</v>
      </c>
      <c r="G2" s="1" t="str">
        <f>'Breakdown Summary'!G2</f>
        <v>Date</v>
      </c>
      <c r="H2" s="1045">
        <f>'Breakdown Summary'!H2</f>
        <v>45453</v>
      </c>
      <c r="I2" s="1045"/>
      <c r="J2" s="1" t="str">
        <f>'Breakdown Summary'!J2</f>
        <v>Ver - 6</v>
      </c>
      <c r="S2" s="49"/>
      <c r="AH2" s="49"/>
    </row>
    <row r="3" spans="1:34" s="1" customFormat="1">
      <c r="B3" s="1" t="str">
        <f>'Breakdown Summary'!B3</f>
        <v>Cowm Top Lane, Rochdale</v>
      </c>
      <c r="G3" s="1" t="str">
        <f>'Breakdown Summary'!H3</f>
        <v>Breakdown of Abnormal Costs</v>
      </c>
    </row>
    <row r="4" spans="1:34" s="1" customFormat="1" ht="12.75" customHeight="1"/>
    <row r="5" spans="1:34" s="1" customFormat="1" ht="15" customHeight="1">
      <c r="A5" s="1046" t="s">
        <v>0</v>
      </c>
      <c r="B5" s="1054" t="s">
        <v>1</v>
      </c>
      <c r="C5" s="1055"/>
      <c r="D5" s="1055"/>
      <c r="E5" s="1055"/>
      <c r="F5" s="1056"/>
      <c r="G5" s="1046" t="s">
        <v>6</v>
      </c>
      <c r="H5" s="1046" t="s">
        <v>5</v>
      </c>
      <c r="I5" s="1046" t="s">
        <v>2</v>
      </c>
      <c r="J5" s="1046" t="s">
        <v>3</v>
      </c>
      <c r="L5" s="1124" t="str">
        <f>'Breakdown Summary'!L5:S5</f>
        <v>Phasing Breakdown</v>
      </c>
      <c r="M5" s="1125"/>
      <c r="N5" s="1125"/>
      <c r="O5" s="1125"/>
      <c r="P5" s="1125"/>
      <c r="Q5" s="1125"/>
      <c r="R5" s="1125"/>
      <c r="S5" s="1126"/>
      <c r="U5" s="195"/>
      <c r="V5" s="195"/>
      <c r="W5" s="195"/>
      <c r="X5" s="195"/>
      <c r="Y5" s="195"/>
      <c r="AA5" s="1124" t="s">
        <v>17</v>
      </c>
      <c r="AB5" s="1125"/>
      <c r="AC5" s="1125"/>
      <c r="AD5" s="1125"/>
      <c r="AE5" s="1125"/>
      <c r="AF5" s="1125"/>
      <c r="AG5" s="1125"/>
      <c r="AH5" s="1126"/>
    </row>
    <row r="6" spans="1:34" s="1" customFormat="1" ht="14" customHeight="1">
      <c r="A6" s="1047"/>
      <c r="B6" s="1057"/>
      <c r="C6" s="1058"/>
      <c r="D6" s="1058"/>
      <c r="E6" s="1058"/>
      <c r="F6" s="1059"/>
      <c r="G6" s="1047"/>
      <c r="H6" s="1047"/>
      <c r="I6" s="1047"/>
      <c r="J6" s="1047"/>
      <c r="L6" s="1127" t="str">
        <f>'Breakdown Summary'!L6</f>
        <v>Site 1</v>
      </c>
      <c r="M6" s="1128"/>
      <c r="N6" s="1127">
        <f>'Breakdown Summary'!N6</f>
        <v>0</v>
      </c>
      <c r="O6" s="1128"/>
      <c r="P6" s="1063">
        <f>'Breakdown Summary'!P6:P7</f>
        <v>0</v>
      </c>
      <c r="Q6" s="1063">
        <f>'Breakdown Summary'!Q6:Q7</f>
        <v>0</v>
      </c>
      <c r="R6" s="1063">
        <f>'Breakdown Summary'!R6:R7</f>
        <v>0</v>
      </c>
      <c r="S6" s="1063">
        <f>'Breakdown Summary'!S6:S7</f>
        <v>0</v>
      </c>
      <c r="U6" s="195"/>
      <c r="V6" s="195"/>
      <c r="W6" s="195"/>
      <c r="X6" s="195"/>
      <c r="Y6" s="195"/>
      <c r="AA6" s="1127" t="s">
        <v>15</v>
      </c>
      <c r="AB6" s="1140"/>
      <c r="AC6" s="1140"/>
      <c r="AD6" s="1140"/>
      <c r="AE6" s="1128"/>
      <c r="AF6" s="1063" t="s">
        <v>12</v>
      </c>
      <c r="AG6" s="1063" t="s">
        <v>13</v>
      </c>
      <c r="AH6" s="1063" t="s">
        <v>14</v>
      </c>
    </row>
    <row r="7" spans="1:34">
      <c r="A7" s="1047"/>
      <c r="B7" s="1057"/>
      <c r="C7" s="1058"/>
      <c r="D7" s="1058"/>
      <c r="E7" s="1058"/>
      <c r="F7" s="1059"/>
      <c r="G7" s="1047"/>
      <c r="H7" s="1047"/>
      <c r="I7" s="1047"/>
      <c r="J7" s="1047"/>
      <c r="L7" s="59" t="str">
        <f>'Breakdown Summary'!L7</f>
        <v>Barratt</v>
      </c>
      <c r="M7" s="59" t="str">
        <f>'Breakdown Summary'!M7</f>
        <v>David Wilson</v>
      </c>
      <c r="N7" s="59" t="str">
        <f>'Breakdown Summary'!N7</f>
        <v>Phs</v>
      </c>
      <c r="O7" s="59" t="str">
        <f>'Breakdown Summary'!O7</f>
        <v>Phs</v>
      </c>
      <c r="P7" s="1065"/>
      <c r="Q7" s="1065"/>
      <c r="R7" s="1065"/>
      <c r="S7" s="1065"/>
      <c r="U7" s="195"/>
      <c r="V7" s="195"/>
      <c r="W7" s="195"/>
      <c r="X7" s="195"/>
      <c r="Y7" s="195"/>
      <c r="AA7" s="59">
        <v>1</v>
      </c>
      <c r="AB7" s="59">
        <v>2</v>
      </c>
      <c r="AC7" s="59">
        <v>3</v>
      </c>
      <c r="AD7" s="59">
        <v>4</v>
      </c>
      <c r="AE7" s="59">
        <v>5</v>
      </c>
      <c r="AF7" s="1065"/>
      <c r="AG7" s="1065"/>
      <c r="AH7" s="1065"/>
    </row>
    <row r="8" spans="1:34" s="1" customFormat="1">
      <c r="A8" s="1048"/>
      <c r="B8" s="1060"/>
      <c r="C8" s="1061"/>
      <c r="D8" s="1061"/>
      <c r="E8" s="1061"/>
      <c r="F8" s="1062"/>
      <c r="G8" s="1048"/>
      <c r="H8" s="1048"/>
      <c r="I8" s="1048"/>
      <c r="J8" s="1048"/>
      <c r="L8" s="242">
        <f>'Breakdown Summary'!L13</f>
        <v>19.11</v>
      </c>
      <c r="M8" s="242">
        <f>'Breakdown Summary'!M13</f>
        <v>10.009886307464162</v>
      </c>
      <c r="N8" s="242">
        <f>'Breakdown Summary'!N13</f>
        <v>0</v>
      </c>
      <c r="O8" s="242">
        <f>'Breakdown Summary'!O13</f>
        <v>0</v>
      </c>
      <c r="P8" s="62">
        <f>'Breakdown Summary'!P13</f>
        <v>0</v>
      </c>
      <c r="Q8" s="60"/>
      <c r="R8" s="61"/>
      <c r="S8" s="61"/>
      <c r="U8" s="195"/>
      <c r="V8" s="195"/>
      <c r="W8" s="195"/>
      <c r="X8" s="195"/>
      <c r="Y8" s="195"/>
      <c r="AA8" s="62">
        <v>1</v>
      </c>
      <c r="AB8" s="62">
        <v>0</v>
      </c>
      <c r="AC8" s="62">
        <v>0</v>
      </c>
      <c r="AD8" s="62">
        <v>0</v>
      </c>
      <c r="AE8" s="62">
        <v>0</v>
      </c>
      <c r="AF8" s="60">
        <v>0</v>
      </c>
      <c r="AG8" s="61">
        <v>0</v>
      </c>
      <c r="AH8" s="61">
        <v>0</v>
      </c>
    </row>
    <row r="9" spans="1:34">
      <c r="A9" s="16"/>
      <c r="B9" s="3"/>
      <c r="C9" s="4"/>
      <c r="D9" s="4"/>
      <c r="E9" s="4"/>
      <c r="F9" s="5"/>
      <c r="G9" s="11"/>
      <c r="H9" s="12"/>
      <c r="I9" s="21"/>
      <c r="J9" s="12"/>
      <c r="L9" s="3"/>
      <c r="M9" s="58"/>
      <c r="N9" s="4"/>
      <c r="O9" s="58"/>
      <c r="P9" s="4"/>
      <c r="Q9" s="58"/>
      <c r="R9" s="58"/>
      <c r="S9" s="5"/>
      <c r="U9" s="21"/>
      <c r="V9" s="21"/>
      <c r="W9" s="21"/>
      <c r="X9" s="21"/>
      <c r="Y9" s="21"/>
      <c r="AA9" s="3"/>
      <c r="AB9" s="58"/>
      <c r="AC9" s="4"/>
      <c r="AD9" s="58"/>
      <c r="AE9" s="4"/>
      <c r="AF9" s="58"/>
      <c r="AG9" s="58"/>
      <c r="AH9" s="5"/>
    </row>
    <row r="10" spans="1:34">
      <c r="A10" s="19">
        <v>7</v>
      </c>
      <c r="B10" s="20" t="s">
        <v>203</v>
      </c>
      <c r="F10" s="7"/>
      <c r="G10" s="11"/>
      <c r="H10" s="13"/>
      <c r="I10" s="21"/>
      <c r="J10" s="13"/>
      <c r="L10" s="6"/>
      <c r="M10" s="2"/>
      <c r="O10" s="2"/>
      <c r="Q10" s="2"/>
      <c r="R10" s="2"/>
      <c r="S10" s="7"/>
      <c r="U10" s="21"/>
      <c r="V10" s="21"/>
      <c r="W10" s="21"/>
      <c r="X10" s="21"/>
      <c r="Y10" s="21"/>
      <c r="AA10" s="6"/>
      <c r="AB10" s="2"/>
      <c r="AD10" s="2"/>
      <c r="AF10" s="2"/>
      <c r="AG10" s="2"/>
      <c r="AH10" s="7"/>
    </row>
    <row r="11" spans="1:34">
      <c r="A11" s="19"/>
      <c r="B11" s="20"/>
      <c r="F11" s="7"/>
      <c r="G11" s="11"/>
      <c r="H11" s="13"/>
      <c r="I11" s="21"/>
      <c r="J11" s="13"/>
      <c r="L11" s="6"/>
      <c r="M11" s="2"/>
      <c r="O11" s="2"/>
      <c r="Q11" s="2"/>
      <c r="R11" s="2"/>
      <c r="S11" s="7"/>
      <c r="U11" s="21"/>
      <c r="V11" s="21"/>
      <c r="W11" s="21"/>
      <c r="X11" s="21"/>
      <c r="Y11" s="21"/>
      <c r="AA11" s="6"/>
      <c r="AB11" s="2"/>
      <c r="AD11" s="2"/>
      <c r="AF11" s="2"/>
      <c r="AG11" s="2"/>
      <c r="AH11" s="7"/>
    </row>
    <row r="12" spans="1:34" ht="16.5" customHeight="1">
      <c r="A12" s="17"/>
      <c r="F12" s="7"/>
      <c r="G12" s="71"/>
      <c r="H12" s="13"/>
      <c r="I12" s="21"/>
      <c r="J12" s="13"/>
      <c r="L12" s="6"/>
      <c r="M12" s="2"/>
      <c r="O12" s="2"/>
      <c r="Q12" s="2"/>
      <c r="R12" s="2"/>
      <c r="S12" s="7"/>
      <c r="U12" s="21"/>
      <c r="V12" s="21"/>
      <c r="W12" s="21"/>
      <c r="X12" s="21"/>
      <c r="Y12" s="21"/>
      <c r="AA12" s="64"/>
      <c r="AB12" s="2"/>
      <c r="AD12" s="2"/>
      <c r="AF12" s="2"/>
      <c r="AG12" s="2"/>
      <c r="AH12" s="7"/>
    </row>
    <row r="13" spans="1:34" ht="14" customHeight="1">
      <c r="A13" s="17"/>
      <c r="B13" t="s">
        <v>35</v>
      </c>
      <c r="F13" s="7"/>
      <c r="G13" s="11">
        <v>1</v>
      </c>
      <c r="H13" s="13" t="s">
        <v>7</v>
      </c>
      <c r="I13" s="21">
        <v>80000</v>
      </c>
      <c r="J13" s="13">
        <f>G13*I13</f>
        <v>80000</v>
      </c>
      <c r="L13" s="64">
        <f>J13</f>
        <v>80000</v>
      </c>
      <c r="M13" s="2"/>
      <c r="N13" s="86"/>
      <c r="O13" s="2"/>
      <c r="Q13" s="2"/>
      <c r="R13" s="2"/>
      <c r="S13" s="7"/>
      <c r="U13" s="21"/>
      <c r="V13" s="21"/>
      <c r="W13" s="21"/>
      <c r="X13" s="21"/>
      <c r="Y13" s="21"/>
      <c r="AA13" s="6"/>
      <c r="AB13" s="2"/>
      <c r="AD13" s="2"/>
      <c r="AF13" s="2"/>
      <c r="AG13" s="2"/>
      <c r="AH13" s="7"/>
    </row>
    <row r="14" spans="1:34" ht="14" customHeight="1">
      <c r="A14" s="17"/>
      <c r="F14" s="721"/>
      <c r="G14" s="11"/>
      <c r="H14" s="13"/>
      <c r="I14" s="21"/>
      <c r="J14" s="13"/>
      <c r="L14" s="64"/>
      <c r="M14" s="2"/>
      <c r="N14" s="86"/>
      <c r="O14" s="2"/>
      <c r="Q14" s="2"/>
      <c r="R14" s="2"/>
      <c r="S14" s="721"/>
      <c r="U14" s="21"/>
      <c r="V14" s="21"/>
      <c r="W14" s="21"/>
      <c r="X14" s="21"/>
      <c r="Y14" s="21"/>
      <c r="AA14" s="6"/>
      <c r="AB14" s="2"/>
      <c r="AD14" s="2"/>
      <c r="AF14" s="2"/>
      <c r="AG14" s="2"/>
      <c r="AH14" s="721"/>
    </row>
    <row r="15" spans="1:34" ht="14" customHeight="1">
      <c r="A15" s="17"/>
      <c r="B15" t="s">
        <v>35</v>
      </c>
      <c r="F15" s="7"/>
      <c r="G15" s="11">
        <v>3</v>
      </c>
      <c r="H15" s="13" t="s">
        <v>7</v>
      </c>
      <c r="I15" s="21">
        <v>15000</v>
      </c>
      <c r="J15" s="13">
        <f>G15*I15</f>
        <v>45000</v>
      </c>
      <c r="L15" s="64">
        <f>J15</f>
        <v>45000</v>
      </c>
      <c r="M15" s="2"/>
      <c r="N15" s="86"/>
      <c r="O15" s="2"/>
      <c r="Q15" s="2"/>
      <c r="R15" s="2"/>
      <c r="S15" s="7"/>
      <c r="U15" s="21"/>
      <c r="V15" s="21"/>
      <c r="W15" s="21"/>
      <c r="X15" s="21"/>
      <c r="Y15" s="21"/>
      <c r="AA15" s="6"/>
      <c r="AB15" s="2"/>
      <c r="AD15" s="2"/>
      <c r="AF15" s="2"/>
      <c r="AG15" s="2"/>
      <c r="AH15" s="7"/>
    </row>
    <row r="16" spans="1:34" ht="14" customHeight="1">
      <c r="A16" s="17"/>
      <c r="F16" s="7"/>
      <c r="G16" s="11"/>
      <c r="H16" s="13"/>
      <c r="I16" s="21"/>
      <c r="J16" s="13"/>
      <c r="L16" s="64">
        <f t="shared" ref="L16:L30" si="0">J16</f>
        <v>0</v>
      </c>
      <c r="M16" s="2"/>
      <c r="O16" s="2"/>
      <c r="Q16" s="2"/>
      <c r="R16" s="2"/>
      <c r="S16" s="7"/>
      <c r="U16" s="21"/>
      <c r="V16" s="21"/>
      <c r="W16" s="21"/>
      <c r="X16" s="21"/>
      <c r="Y16" s="21"/>
      <c r="AA16" s="6"/>
      <c r="AB16" s="2"/>
      <c r="AD16" s="2"/>
      <c r="AF16" s="2"/>
      <c r="AG16" s="2"/>
      <c r="AH16" s="7"/>
    </row>
    <row r="17" spans="1:54">
      <c r="A17" s="17"/>
      <c r="B17" s="20" t="s">
        <v>586</v>
      </c>
      <c r="F17" s="7"/>
      <c r="G17" s="646"/>
      <c r="H17" s="647"/>
      <c r="I17" s="646"/>
      <c r="J17" s="647"/>
      <c r="L17" s="64">
        <f t="shared" si="0"/>
        <v>0</v>
      </c>
      <c r="M17" s="2"/>
      <c r="O17" s="2"/>
      <c r="Q17" s="2"/>
      <c r="R17" s="2"/>
      <c r="S17" s="7"/>
      <c r="U17" s="21"/>
      <c r="V17" s="21"/>
      <c r="W17" s="21"/>
      <c r="X17" s="21"/>
      <c r="Y17" s="21"/>
      <c r="AA17" s="64"/>
      <c r="AB17" s="2"/>
      <c r="AD17" s="2"/>
      <c r="AF17" s="2"/>
      <c r="AG17" s="2"/>
      <c r="AH17" s="7"/>
    </row>
    <row r="18" spans="1:54">
      <c r="A18" s="17"/>
      <c r="B18" s="20"/>
      <c r="F18" s="7"/>
      <c r="G18" s="646"/>
      <c r="H18" s="647"/>
      <c r="I18" s="646"/>
      <c r="J18" s="647"/>
      <c r="L18" s="64">
        <f t="shared" si="0"/>
        <v>0</v>
      </c>
      <c r="M18" s="2"/>
      <c r="O18" s="2"/>
      <c r="Q18" s="2"/>
      <c r="R18" s="2"/>
      <c r="S18" s="7"/>
      <c r="U18" s="21"/>
      <c r="V18" s="21"/>
      <c r="W18" s="21"/>
      <c r="X18" s="21"/>
      <c r="Y18" s="21"/>
      <c r="AA18" s="64"/>
      <c r="AB18" s="2"/>
      <c r="AD18" s="2"/>
      <c r="AF18" s="2"/>
      <c r="AG18" s="2"/>
      <c r="AH18" s="7"/>
    </row>
    <row r="19" spans="1:54">
      <c r="A19" s="17"/>
      <c r="B19" t="s">
        <v>587</v>
      </c>
      <c r="F19" s="7"/>
      <c r="G19" s="648">
        <f>'Dwelling Mix'!AA94*4046</f>
        <v>81481.94</v>
      </c>
      <c r="H19" s="647" t="s">
        <v>39</v>
      </c>
      <c r="I19" s="646">
        <v>3.5</v>
      </c>
      <c r="J19" s="647">
        <f>G19*I19</f>
        <v>285186.79000000004</v>
      </c>
      <c r="L19" s="64">
        <f t="shared" si="0"/>
        <v>285186.79000000004</v>
      </c>
      <c r="M19" s="2"/>
      <c r="N19" s="68">
        <f>'Dwelling Mix'!U94*4046*'7. POS'!I19</f>
        <v>0</v>
      </c>
      <c r="O19" s="649">
        <f>'Dwelling Mix'!X94*4046*'7. POS'!I19</f>
        <v>0</v>
      </c>
      <c r="Q19" s="2"/>
      <c r="R19" s="2"/>
      <c r="S19" s="7"/>
      <c r="U19" s="21"/>
      <c r="V19" s="21"/>
      <c r="W19" s="21"/>
      <c r="X19" s="21"/>
      <c r="Y19" s="21"/>
      <c r="AA19" s="6"/>
      <c r="AB19" s="2"/>
      <c r="AD19" s="2"/>
      <c r="AF19" s="2"/>
      <c r="AG19" s="2"/>
      <c r="AH19" s="7"/>
    </row>
    <row r="20" spans="1:54">
      <c r="A20" s="17"/>
      <c r="F20" s="7"/>
      <c r="G20" s="648"/>
      <c r="H20" s="647"/>
      <c r="I20" s="646"/>
      <c r="J20" s="647"/>
      <c r="L20" s="64">
        <f t="shared" si="0"/>
        <v>0</v>
      </c>
      <c r="M20" s="2"/>
      <c r="O20" s="2"/>
      <c r="Q20" s="2"/>
      <c r="R20" s="2"/>
      <c r="S20" s="7"/>
      <c r="U20" s="21"/>
      <c r="V20" s="21"/>
      <c r="W20" s="21"/>
      <c r="X20" s="21"/>
      <c r="Y20" s="21"/>
      <c r="AA20" s="64"/>
      <c r="AB20" s="2"/>
      <c r="AD20" s="2"/>
      <c r="AF20" s="2"/>
      <c r="AG20" s="2"/>
      <c r="AH20" s="7"/>
    </row>
    <row r="21" spans="1:54" ht="14" customHeight="1">
      <c r="A21" s="17"/>
      <c r="B21" t="s">
        <v>588</v>
      </c>
      <c r="F21" s="7"/>
      <c r="G21" s="648">
        <f>G19</f>
        <v>81481.94</v>
      </c>
      <c r="H21" s="647" t="s">
        <v>39</v>
      </c>
      <c r="I21" s="646">
        <v>4.75</v>
      </c>
      <c r="J21" s="647">
        <f>G21*I21</f>
        <v>387039.21500000003</v>
      </c>
      <c r="L21" s="64">
        <f t="shared" si="0"/>
        <v>387039.21500000003</v>
      </c>
      <c r="M21" s="2"/>
      <c r="N21" s="68">
        <f>'Dwelling Mix'!U94*4046*'7. POS'!I21</f>
        <v>0</v>
      </c>
      <c r="O21" s="649">
        <f>'Dwelling Mix'!X94*4046*'7. POS'!I21</f>
        <v>0</v>
      </c>
      <c r="Q21" s="2"/>
      <c r="R21" s="2"/>
      <c r="S21" s="7"/>
      <c r="U21" s="21"/>
      <c r="V21" s="21"/>
      <c r="W21" s="21"/>
      <c r="X21" s="21"/>
      <c r="Y21" s="21"/>
      <c r="AA21" s="6"/>
      <c r="AB21" s="2"/>
      <c r="AD21" s="2"/>
      <c r="AF21" s="2"/>
      <c r="AG21" s="2"/>
      <c r="AH21" s="7"/>
    </row>
    <row r="22" spans="1:54">
      <c r="A22" s="17"/>
      <c r="F22" s="7"/>
      <c r="G22" s="648"/>
      <c r="H22" s="647"/>
      <c r="I22" s="646"/>
      <c r="J22" s="647"/>
      <c r="L22" s="64">
        <f t="shared" si="0"/>
        <v>0</v>
      </c>
      <c r="M22" s="2"/>
      <c r="O22" s="2"/>
      <c r="Q22" s="2"/>
      <c r="R22" s="2"/>
      <c r="S22" s="7"/>
      <c r="U22" s="21"/>
      <c r="V22" s="21"/>
      <c r="W22" s="21"/>
      <c r="X22" s="21"/>
      <c r="Y22" s="21"/>
      <c r="AA22" s="64"/>
      <c r="AB22" s="2"/>
      <c r="AD22" s="2"/>
      <c r="AF22" s="2"/>
      <c r="AG22" s="2"/>
      <c r="AH22" s="7"/>
    </row>
    <row r="23" spans="1:54" ht="14" customHeight="1">
      <c r="A23" s="17"/>
      <c r="B23" t="s">
        <v>589</v>
      </c>
      <c r="F23" s="7"/>
      <c r="G23" s="646"/>
      <c r="H23" s="647"/>
      <c r="I23" s="646"/>
      <c r="J23" s="647"/>
      <c r="L23" s="64">
        <f t="shared" si="0"/>
        <v>0</v>
      </c>
      <c r="M23" s="2"/>
      <c r="O23" s="2"/>
      <c r="Q23" s="2"/>
      <c r="R23" s="2"/>
      <c r="S23" s="7"/>
      <c r="U23" s="21"/>
      <c r="V23" s="21"/>
      <c r="W23" s="21"/>
      <c r="X23" s="21"/>
      <c r="Y23" s="21"/>
      <c r="AA23" s="6"/>
      <c r="AB23" s="2"/>
      <c r="AD23" s="2"/>
      <c r="AF23" s="2"/>
      <c r="AG23" s="2"/>
      <c r="AH23" s="7"/>
    </row>
    <row r="24" spans="1:54">
      <c r="A24" s="17"/>
      <c r="C24" t="s">
        <v>590</v>
      </c>
      <c r="F24" s="7"/>
      <c r="G24" s="646">
        <f>'Dwelling Mix'!O106+'Dwelling Mix'!R106</f>
        <v>740</v>
      </c>
      <c r="H24" s="647" t="s">
        <v>4</v>
      </c>
      <c r="I24" s="646">
        <f>'Footpath Construction'!N112</f>
        <v>313.53154268494279</v>
      </c>
      <c r="J24" s="647">
        <f>G24*I24</f>
        <v>232013.34158685766</v>
      </c>
      <c r="L24" s="64">
        <f t="shared" si="0"/>
        <v>232013.34158685766</v>
      </c>
      <c r="M24" s="2"/>
      <c r="O24" s="2"/>
      <c r="Q24" s="2"/>
      <c r="R24" s="2"/>
      <c r="S24" s="7"/>
      <c r="U24" s="21"/>
      <c r="V24" s="21"/>
      <c r="W24" s="21"/>
      <c r="X24" s="21"/>
      <c r="Y24" s="21"/>
      <c r="AA24" s="64"/>
      <c r="AB24" s="2"/>
      <c r="AD24" s="2"/>
      <c r="AF24" s="2"/>
      <c r="AG24" s="2"/>
      <c r="AH24" s="7"/>
    </row>
    <row r="25" spans="1:54">
      <c r="A25" s="19"/>
      <c r="C25" t="s">
        <v>591</v>
      </c>
      <c r="F25" s="7"/>
      <c r="G25" s="646">
        <v>0</v>
      </c>
      <c r="H25" s="647" t="s">
        <v>4</v>
      </c>
      <c r="I25" s="646">
        <f>'Footpath Construction'!N85</f>
        <v>226.15599268494282</v>
      </c>
      <c r="J25" s="647">
        <f>G25*I25</f>
        <v>0</v>
      </c>
      <c r="L25" s="64">
        <f t="shared" si="0"/>
        <v>0</v>
      </c>
      <c r="M25" s="2"/>
      <c r="O25" s="2"/>
      <c r="Q25" s="2"/>
      <c r="R25" s="2"/>
      <c r="S25" s="7"/>
      <c r="U25" s="21"/>
      <c r="V25" s="21"/>
      <c r="W25" s="21"/>
      <c r="X25" s="21"/>
      <c r="Y25" s="21"/>
      <c r="AA25" s="6"/>
      <c r="AB25" s="2"/>
      <c r="AD25" s="2"/>
      <c r="AF25" s="2"/>
      <c r="AG25" s="2"/>
      <c r="AH25" s="7"/>
    </row>
    <row r="26" spans="1:54">
      <c r="A26" s="19"/>
      <c r="F26" s="7"/>
      <c r="G26" s="646"/>
      <c r="H26" s="647"/>
      <c r="I26" s="646"/>
      <c r="J26" s="647"/>
      <c r="L26" s="64">
        <f t="shared" si="0"/>
        <v>0</v>
      </c>
      <c r="M26" s="2"/>
      <c r="O26" s="2"/>
      <c r="Q26" s="2"/>
      <c r="R26" s="2"/>
      <c r="S26" s="7"/>
      <c r="U26" s="21"/>
      <c r="V26" s="21"/>
      <c r="W26" s="21"/>
      <c r="X26" s="21"/>
      <c r="Y26" s="21"/>
      <c r="AA26" s="64"/>
      <c r="AB26" s="2"/>
      <c r="AD26" s="2"/>
      <c r="AF26" s="2"/>
      <c r="AG26" s="2"/>
      <c r="AH26" s="7"/>
    </row>
    <row r="27" spans="1:54">
      <c r="A27" s="17"/>
      <c r="F27" s="7"/>
      <c r="G27" s="69"/>
      <c r="H27" s="206"/>
      <c r="I27" s="67"/>
      <c r="J27" s="206"/>
      <c r="L27" s="64">
        <f t="shared" si="0"/>
        <v>0</v>
      </c>
      <c r="M27" s="2"/>
      <c r="O27" s="2"/>
      <c r="Q27" s="2"/>
      <c r="R27" s="2"/>
      <c r="S27" s="7"/>
      <c r="Z27" s="69"/>
      <c r="AA27" s="230">
        <f t="shared" ref="AA27:AG27" si="1">IF($Y27=AA$7,$Z27,0)</f>
        <v>0</v>
      </c>
      <c r="AB27" s="230">
        <f t="shared" si="1"/>
        <v>0</v>
      </c>
      <c r="AC27" s="230">
        <f t="shared" si="1"/>
        <v>0</v>
      </c>
      <c r="AD27" s="230">
        <f t="shared" si="1"/>
        <v>0</v>
      </c>
      <c r="AE27" s="230">
        <f t="shared" si="1"/>
        <v>0</v>
      </c>
      <c r="AF27" s="230">
        <f t="shared" si="1"/>
        <v>0</v>
      </c>
      <c r="AG27" s="230">
        <f t="shared" si="1"/>
        <v>0</v>
      </c>
      <c r="AK27" s="83"/>
      <c r="AL27" s="83"/>
      <c r="AM27" s="11">
        <f>AK27-AL27</f>
        <v>0</v>
      </c>
      <c r="AN27" s="11">
        <f t="shared" ref="AN27:AT27" si="2">IF($AJ27=AN$7,1,0)</f>
        <v>1</v>
      </c>
      <c r="AO27" s="11">
        <f t="shared" si="2"/>
        <v>1</v>
      </c>
      <c r="AP27" s="11">
        <f t="shared" si="2"/>
        <v>1</v>
      </c>
      <c r="AQ27" s="11">
        <f t="shared" si="2"/>
        <v>1</v>
      </c>
      <c r="AR27" s="11">
        <f t="shared" si="2"/>
        <v>1</v>
      </c>
      <c r="AS27" s="11">
        <f t="shared" si="2"/>
        <v>1</v>
      </c>
      <c r="AT27" s="11">
        <f t="shared" si="2"/>
        <v>1</v>
      </c>
      <c r="AU27" s="11"/>
      <c r="BA27" s="11"/>
      <c r="BB27" s="11"/>
    </row>
    <row r="28" spans="1:54">
      <c r="A28" s="19"/>
      <c r="B28" t="s">
        <v>706</v>
      </c>
      <c r="F28" s="7"/>
      <c r="G28" s="646"/>
      <c r="H28" s="647"/>
      <c r="I28" s="646"/>
      <c r="J28" s="647"/>
      <c r="L28" s="64">
        <f t="shared" si="0"/>
        <v>0</v>
      </c>
      <c r="M28" s="2"/>
      <c r="O28" s="2"/>
      <c r="Q28" s="2"/>
      <c r="R28" s="2"/>
      <c r="S28" s="7"/>
      <c r="U28" s="21"/>
      <c r="V28" s="21"/>
      <c r="W28" s="21"/>
      <c r="X28" s="21"/>
      <c r="Y28" s="21"/>
      <c r="AA28" s="6"/>
      <c r="AB28" s="2"/>
      <c r="AD28" s="2"/>
      <c r="AF28" s="2"/>
      <c r="AG28" s="2"/>
      <c r="AH28" s="7"/>
    </row>
    <row r="29" spans="1:54">
      <c r="A29" s="19"/>
      <c r="B29" s="20"/>
      <c r="C29" t="s">
        <v>708</v>
      </c>
      <c r="F29" s="7"/>
      <c r="G29" s="646">
        <f>(10*4.3)/3*3</f>
        <v>43</v>
      </c>
      <c r="H29" s="13" t="s">
        <v>707</v>
      </c>
      <c r="I29" s="646">
        <v>1650</v>
      </c>
      <c r="J29" s="647">
        <f>G29*I29</f>
        <v>70950</v>
      </c>
      <c r="L29" s="64">
        <f t="shared" si="0"/>
        <v>70950</v>
      </c>
      <c r="M29" s="2"/>
      <c r="O29" s="2"/>
      <c r="Q29" s="2"/>
      <c r="R29" s="2"/>
      <c r="S29" s="7"/>
      <c r="U29" s="21"/>
      <c r="V29" s="21"/>
      <c r="W29" s="21"/>
      <c r="X29" s="21"/>
      <c r="Y29" s="21"/>
      <c r="AA29" s="64"/>
      <c r="AB29" s="2"/>
      <c r="AD29" s="2"/>
      <c r="AF29" s="2"/>
      <c r="AG29" s="2"/>
      <c r="AH29" s="7"/>
    </row>
    <row r="30" spans="1:54" ht="14" customHeight="1">
      <c r="A30" s="19"/>
      <c r="B30" s="20"/>
      <c r="F30" s="7"/>
      <c r="G30" s="646"/>
      <c r="H30" s="13"/>
      <c r="I30" s="646"/>
      <c r="J30" s="647"/>
      <c r="L30" s="64">
        <f t="shared" si="0"/>
        <v>0</v>
      </c>
      <c r="M30" s="2"/>
      <c r="O30" s="2"/>
      <c r="Q30" s="2"/>
      <c r="R30" s="2"/>
      <c r="S30" s="7"/>
      <c r="U30" s="21"/>
      <c r="V30" s="21"/>
      <c r="W30" s="21"/>
      <c r="X30" s="21"/>
      <c r="Y30" s="21"/>
      <c r="AA30" s="6"/>
      <c r="AB30" s="2"/>
      <c r="AD30" s="2"/>
      <c r="AF30" s="2"/>
      <c r="AG30" s="2"/>
      <c r="AH30" s="7"/>
    </row>
    <row r="31" spans="1:54" ht="16.25" customHeight="1">
      <c r="A31" s="51"/>
      <c r="B31" s="57"/>
      <c r="C31" s="55"/>
      <c r="D31" s="55"/>
      <c r="E31" s="55"/>
      <c r="F31" s="56"/>
      <c r="G31" s="11"/>
      <c r="H31" s="13"/>
      <c r="I31" s="21"/>
      <c r="J31" s="13"/>
      <c r="L31" s="6"/>
      <c r="M31" s="2"/>
      <c r="O31" s="2"/>
      <c r="P31" s="2"/>
      <c r="Q31" s="2"/>
      <c r="R31" s="2"/>
      <c r="S31" s="7"/>
      <c r="U31" s="21"/>
      <c r="V31" s="21"/>
      <c r="W31" s="21"/>
      <c r="X31" s="21"/>
      <c r="Y31" s="21"/>
      <c r="AA31" s="6"/>
      <c r="AB31" s="2"/>
      <c r="AD31" s="2"/>
      <c r="AE31" s="2"/>
      <c r="AG31" s="2"/>
      <c r="AH31" s="7"/>
    </row>
    <row r="32" spans="1:54" ht="16.25" customHeight="1">
      <c r="A32" s="51"/>
      <c r="B32" s="57"/>
      <c r="C32" s="55"/>
      <c r="D32" s="55"/>
      <c r="E32" s="55"/>
      <c r="F32" s="56"/>
      <c r="G32" s="11"/>
      <c r="H32" s="13"/>
      <c r="I32" s="21"/>
      <c r="J32" s="13"/>
      <c r="L32" s="6"/>
      <c r="M32" s="2"/>
      <c r="O32" s="2"/>
      <c r="Q32" s="2"/>
      <c r="R32" s="2"/>
      <c r="S32" s="7"/>
      <c r="U32" s="21"/>
      <c r="V32" s="21"/>
      <c r="W32" s="21"/>
      <c r="X32" s="21"/>
      <c r="Y32" s="21"/>
      <c r="AA32" s="6"/>
      <c r="AB32" s="2"/>
      <c r="AD32" s="2"/>
      <c r="AE32" s="2"/>
      <c r="AG32" s="2"/>
      <c r="AH32" s="7"/>
    </row>
    <row r="33" spans="1:34" ht="16" thickBot="1">
      <c r="A33" s="17"/>
      <c r="B33" s="6"/>
      <c r="F33" s="7"/>
      <c r="G33" s="11"/>
      <c r="H33" s="13"/>
      <c r="I33" s="21"/>
      <c r="J33" s="47">
        <f>SUM(J9:J32)</f>
        <v>1100189.3465868579</v>
      </c>
      <c r="L33" s="47">
        <f t="shared" ref="L33:S33" si="3">SUM(L9:L32)</f>
        <v>1100189.3465868579</v>
      </c>
      <c r="M33" s="47">
        <f t="shared" si="3"/>
        <v>0</v>
      </c>
      <c r="N33" s="47">
        <f t="shared" si="3"/>
        <v>0</v>
      </c>
      <c r="O33" s="47">
        <f t="shared" si="3"/>
        <v>0</v>
      </c>
      <c r="P33" s="47">
        <f t="shared" si="3"/>
        <v>0</v>
      </c>
      <c r="Q33" s="47">
        <f t="shared" si="3"/>
        <v>0</v>
      </c>
      <c r="R33" s="47">
        <f t="shared" si="3"/>
        <v>0</v>
      </c>
      <c r="S33" s="47">
        <f t="shared" si="3"/>
        <v>0</v>
      </c>
      <c r="U33" s="65"/>
      <c r="V33" s="65"/>
      <c r="W33" s="65"/>
      <c r="X33" s="65"/>
      <c r="Y33" s="65"/>
      <c r="AA33" s="47">
        <f t="shared" ref="AA33:AH33" si="4">SUM(AA9:AA32)</f>
        <v>0</v>
      </c>
      <c r="AB33" s="47">
        <f t="shared" si="4"/>
        <v>0</v>
      </c>
      <c r="AC33" s="47">
        <f t="shared" si="4"/>
        <v>0</v>
      </c>
      <c r="AD33" s="47">
        <f t="shared" si="4"/>
        <v>0</v>
      </c>
      <c r="AE33" s="47">
        <f t="shared" si="4"/>
        <v>0</v>
      </c>
      <c r="AF33" s="47">
        <f t="shared" si="4"/>
        <v>0</v>
      </c>
      <c r="AG33" s="47">
        <f t="shared" si="4"/>
        <v>0</v>
      </c>
      <c r="AH33" s="47">
        <f t="shared" si="4"/>
        <v>0</v>
      </c>
    </row>
    <row r="34" spans="1:34">
      <c r="A34" s="18"/>
      <c r="B34" s="8"/>
      <c r="C34" s="9"/>
      <c r="D34" s="9"/>
      <c r="E34" s="9"/>
      <c r="F34" s="10"/>
      <c r="G34" s="14"/>
      <c r="H34" s="15"/>
      <c r="I34" s="23"/>
      <c r="J34" s="15"/>
      <c r="L34" s="8"/>
      <c r="M34" s="63"/>
      <c r="N34" s="9"/>
      <c r="O34" s="63"/>
      <c r="P34" s="9"/>
      <c r="Q34" s="63"/>
      <c r="R34" s="63"/>
      <c r="S34" s="10"/>
      <c r="U34" s="21"/>
      <c r="V34" s="21"/>
      <c r="W34" s="21"/>
      <c r="X34" s="21"/>
      <c r="Y34" s="21"/>
      <c r="AA34" s="63"/>
      <c r="AB34" s="9"/>
      <c r="AC34" s="63"/>
      <c r="AD34" s="9"/>
      <c r="AE34" s="63"/>
      <c r="AF34" s="9"/>
      <c r="AG34" s="63"/>
      <c r="AH34" s="63"/>
    </row>
  </sheetData>
  <mergeCells count="19">
    <mergeCell ref="H2:I2"/>
    <mergeCell ref="J5:J8"/>
    <mergeCell ref="AA5:AH5"/>
    <mergeCell ref="AA6:AE6"/>
    <mergeCell ref="AF6:AF7"/>
    <mergeCell ref="AG6:AG7"/>
    <mergeCell ref="AH6:AH7"/>
    <mergeCell ref="L5:S5"/>
    <mergeCell ref="Q6:Q7"/>
    <mergeCell ref="R6:R7"/>
    <mergeCell ref="S6:S7"/>
    <mergeCell ref="L6:M6"/>
    <mergeCell ref="N6:O6"/>
    <mergeCell ref="P6:P7"/>
    <mergeCell ref="A5:A8"/>
    <mergeCell ref="B5:F8"/>
    <mergeCell ref="G5:G8"/>
    <mergeCell ref="H5:H8"/>
    <mergeCell ref="I5:I8"/>
  </mergeCells>
  <printOptions horizontalCentered="1"/>
  <pageMargins left="0.261811024" right="0.511811023622047" top="0.55118110236220497" bottom="0.55118110236220497" header="0.31496062992126" footer="0.31496062992126"/>
  <pageSetup paperSize="9" scale="54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6" tint="0.39997558519241921"/>
    <pageSetUpPr fitToPage="1"/>
  </sheetPr>
  <dimension ref="A1:AW38"/>
  <sheetViews>
    <sheetView workbookViewId="0">
      <selection activeCell="G27" sqref="G27"/>
    </sheetView>
  </sheetViews>
  <sheetFormatPr baseColWidth="10" defaultColWidth="8.83203125" defaultRowHeight="15"/>
  <cols>
    <col min="1" max="1" width="4" customWidth="1"/>
    <col min="6" max="6" width="10.83203125" customWidth="1"/>
    <col min="7" max="7" width="10.33203125" bestFit="1" customWidth="1"/>
    <col min="8" max="8" width="6.5" customWidth="1"/>
    <col min="9" max="9" width="10.1640625" bestFit="1" customWidth="1"/>
    <col min="10" max="10" width="11.5" customWidth="1"/>
    <col min="11" max="11" width="1.83203125" customWidth="1"/>
    <col min="12" max="19" width="11.6640625" hidden="1" customWidth="1"/>
    <col min="21" max="25" width="11.5" customWidth="1"/>
    <col min="26" max="26" width="2.5" customWidth="1"/>
    <col min="27" max="34" width="12.6640625" hidden="1" customWidth="1"/>
    <col min="39" max="39" width="8.83203125" style="11"/>
    <col min="40" max="41" width="8.83203125" style="84"/>
    <col min="45" max="45" width="10.6640625" customWidth="1"/>
  </cols>
  <sheetData>
    <row r="1" spans="1:49" s="1" customFormat="1">
      <c r="AM1" s="81"/>
      <c r="AN1" s="82"/>
      <c r="AO1" s="82"/>
    </row>
    <row r="2" spans="1:49" s="1" customFormat="1">
      <c r="B2" s="1" t="str">
        <f>'Breakdown Summary'!B2</f>
        <v>Trows Farm, Castleton</v>
      </c>
      <c r="G2" s="1" t="str">
        <f>'Breakdown Summary'!G2</f>
        <v>Date</v>
      </c>
      <c r="H2" s="1045">
        <f>'Breakdown Summary'!H2</f>
        <v>45453</v>
      </c>
      <c r="I2" s="1045"/>
      <c r="J2" s="1" t="str">
        <f>'Breakdown Summary'!J2</f>
        <v>Ver - 6</v>
      </c>
      <c r="S2" s="49"/>
      <c r="AH2" s="49"/>
      <c r="AM2" s="81"/>
      <c r="AN2" s="82"/>
      <c r="AO2" s="82"/>
      <c r="AR2" s="1" t="s">
        <v>140</v>
      </c>
    </row>
    <row r="3" spans="1:49" s="1" customFormat="1">
      <c r="B3" s="1" t="str">
        <f>'Breakdown Summary'!B3</f>
        <v>Cowm Top Lane, Rochdale</v>
      </c>
      <c r="G3" s="1" t="str">
        <f>'Breakdown Summary'!H3</f>
        <v>Breakdown of Abnormal Costs</v>
      </c>
      <c r="AK3" s="1" t="s">
        <v>130</v>
      </c>
      <c r="AL3" s="1" t="s">
        <v>139</v>
      </c>
      <c r="AM3" s="81" t="s">
        <v>38</v>
      </c>
      <c r="AN3" s="82" t="s">
        <v>133</v>
      </c>
      <c r="AO3" s="82" t="s">
        <v>134</v>
      </c>
      <c r="AP3" s="1" t="s">
        <v>37</v>
      </c>
      <c r="AR3" s="1">
        <v>300</v>
      </c>
      <c r="AS3" s="1">
        <v>375</v>
      </c>
      <c r="AT3" s="1">
        <v>450</v>
      </c>
      <c r="AU3" s="1">
        <v>525</v>
      </c>
      <c r="AV3" s="1">
        <v>900</v>
      </c>
    </row>
    <row r="4" spans="1:49" s="1" customFormat="1" ht="12.75" customHeight="1">
      <c r="AM4" s="81"/>
      <c r="AN4" s="82"/>
      <c r="AO4" s="82"/>
    </row>
    <row r="5" spans="1:49" s="1" customFormat="1" ht="15" customHeight="1">
      <c r="A5" s="1046" t="s">
        <v>0</v>
      </c>
      <c r="B5" s="1054" t="s">
        <v>1</v>
      </c>
      <c r="C5" s="1055"/>
      <c r="D5" s="1055"/>
      <c r="E5" s="1055"/>
      <c r="F5" s="1056"/>
      <c r="G5" s="1046" t="s">
        <v>6</v>
      </c>
      <c r="H5" s="1046" t="s">
        <v>5</v>
      </c>
      <c r="I5" s="1046" t="s">
        <v>2</v>
      </c>
      <c r="J5" s="1046" t="s">
        <v>3</v>
      </c>
      <c r="L5" s="1124" t="str">
        <f>'Breakdown Summary'!L5:S5</f>
        <v>Phasing Breakdown</v>
      </c>
      <c r="M5" s="1125"/>
      <c r="N5" s="1125"/>
      <c r="O5" s="1125"/>
      <c r="P5" s="1125"/>
      <c r="Q5" s="1125"/>
      <c r="R5" s="1125"/>
      <c r="S5" s="1126"/>
      <c r="U5" s="195"/>
      <c r="V5" s="195"/>
      <c r="W5" s="195"/>
      <c r="X5" s="195"/>
      <c r="Y5" s="195"/>
      <c r="AA5" s="1124" t="s">
        <v>17</v>
      </c>
      <c r="AB5" s="1125"/>
      <c r="AC5" s="1125"/>
      <c r="AD5" s="1125"/>
      <c r="AE5" s="1125"/>
      <c r="AF5" s="1125"/>
      <c r="AG5" s="1125"/>
      <c r="AH5" s="1126"/>
      <c r="AK5" t="s">
        <v>131</v>
      </c>
      <c r="AL5">
        <v>375</v>
      </c>
      <c r="AM5" s="11">
        <v>27</v>
      </c>
      <c r="AN5" s="83">
        <v>28.9</v>
      </c>
      <c r="AO5" s="83">
        <v>25.3</v>
      </c>
      <c r="AP5" s="85">
        <f t="shared" ref="AP5:AP10" si="0">AN5-AO5</f>
        <v>3.5999999999999979</v>
      </c>
      <c r="AQ5" s="85"/>
      <c r="AR5"/>
      <c r="AS5" s="86">
        <f>AM5</f>
        <v>27</v>
      </c>
      <c r="AT5"/>
      <c r="AU5"/>
      <c r="AV5"/>
      <c r="AW5"/>
    </row>
    <row r="6" spans="1:49" s="1" customFormat="1" ht="14" customHeight="1">
      <c r="A6" s="1047"/>
      <c r="B6" s="1057"/>
      <c r="C6" s="1058"/>
      <c r="D6" s="1058"/>
      <c r="E6" s="1058"/>
      <c r="F6" s="1059"/>
      <c r="G6" s="1047"/>
      <c r="H6" s="1047"/>
      <c r="I6" s="1047"/>
      <c r="J6" s="1047"/>
      <c r="L6" s="1127" t="str">
        <f>'Breakdown Summary'!L6</f>
        <v>Site 1</v>
      </c>
      <c r="M6" s="1128"/>
      <c r="N6" s="1127">
        <f>'Breakdown Summary'!N6</f>
        <v>0</v>
      </c>
      <c r="O6" s="1128"/>
      <c r="P6" s="1063">
        <f>'Breakdown Summary'!P6:P7</f>
        <v>0</v>
      </c>
      <c r="Q6" s="1063">
        <f>'Breakdown Summary'!Q6:Q7</f>
        <v>0</v>
      </c>
      <c r="R6" s="1063">
        <f>'Breakdown Summary'!R6:R7</f>
        <v>0</v>
      </c>
      <c r="S6" s="1063">
        <f>'Breakdown Summary'!S6:S7</f>
        <v>0</v>
      </c>
      <c r="U6" s="195"/>
      <c r="V6" s="195"/>
      <c r="W6" s="195"/>
      <c r="X6" s="195"/>
      <c r="Y6" s="195"/>
      <c r="AA6" s="1127" t="s">
        <v>15</v>
      </c>
      <c r="AB6" s="1140"/>
      <c r="AC6" s="1140"/>
      <c r="AD6" s="1140"/>
      <c r="AE6" s="1128"/>
      <c r="AF6" s="1063" t="s">
        <v>12</v>
      </c>
      <c r="AG6" s="1063" t="s">
        <v>13</v>
      </c>
      <c r="AH6" s="1063" t="s">
        <v>14</v>
      </c>
      <c r="AK6" t="s">
        <v>132</v>
      </c>
      <c r="AL6">
        <v>375</v>
      </c>
      <c r="AM6" s="11">
        <v>11.6</v>
      </c>
      <c r="AN6" s="83">
        <v>28.6</v>
      </c>
      <c r="AO6" s="83">
        <v>25.27</v>
      </c>
      <c r="AP6" s="85">
        <f t="shared" si="0"/>
        <v>3.3300000000000018</v>
      </c>
      <c r="AQ6" s="85"/>
      <c r="AR6"/>
      <c r="AS6" s="86">
        <f>AM6</f>
        <v>11.6</v>
      </c>
      <c r="AT6"/>
      <c r="AU6"/>
      <c r="AV6"/>
      <c r="AW6"/>
    </row>
    <row r="7" spans="1:49">
      <c r="A7" s="1047"/>
      <c r="B7" s="1057"/>
      <c r="C7" s="1058"/>
      <c r="D7" s="1058"/>
      <c r="E7" s="1058"/>
      <c r="F7" s="1059"/>
      <c r="G7" s="1047"/>
      <c r="H7" s="1047"/>
      <c r="I7" s="1047"/>
      <c r="J7" s="1047"/>
      <c r="L7" s="59" t="str">
        <f>'Breakdown Summary'!L7</f>
        <v>Barratt</v>
      </c>
      <c r="M7" s="59" t="str">
        <f>'Breakdown Summary'!M7</f>
        <v>David Wilson</v>
      </c>
      <c r="N7" s="59" t="str">
        <f>'Breakdown Summary'!N7</f>
        <v>Phs</v>
      </c>
      <c r="O7" s="59" t="str">
        <f>'Breakdown Summary'!O7</f>
        <v>Phs</v>
      </c>
      <c r="P7" s="1065"/>
      <c r="Q7" s="1065"/>
      <c r="R7" s="1065"/>
      <c r="S7" s="1065"/>
      <c r="U7" s="195"/>
      <c r="V7" s="195"/>
      <c r="W7" s="195"/>
      <c r="X7" s="195"/>
      <c r="Y7" s="195"/>
      <c r="AA7" s="59">
        <v>1</v>
      </c>
      <c r="AB7" s="59">
        <v>2</v>
      </c>
      <c r="AC7" s="59">
        <v>3</v>
      </c>
      <c r="AD7" s="59">
        <v>4</v>
      </c>
      <c r="AE7" s="59">
        <v>5</v>
      </c>
      <c r="AF7" s="1065"/>
      <c r="AG7" s="1065"/>
      <c r="AH7" s="1065"/>
      <c r="AK7" t="s">
        <v>135</v>
      </c>
      <c r="AL7">
        <v>450</v>
      </c>
      <c r="AM7" s="11">
        <v>16</v>
      </c>
      <c r="AN7" s="83">
        <v>28.3</v>
      </c>
      <c r="AO7" s="83">
        <v>24.69</v>
      </c>
      <c r="AP7" s="85">
        <f t="shared" si="0"/>
        <v>3.6099999999999994</v>
      </c>
      <c r="AQ7" s="85"/>
      <c r="AT7" s="86">
        <f>AM7</f>
        <v>16</v>
      </c>
    </row>
    <row r="8" spans="1:49" s="1" customFormat="1">
      <c r="A8" s="1048"/>
      <c r="B8" s="1060"/>
      <c r="C8" s="1061"/>
      <c r="D8" s="1061"/>
      <c r="E8" s="1061"/>
      <c r="F8" s="1062"/>
      <c r="G8" s="1048"/>
      <c r="H8" s="1048"/>
      <c r="I8" s="1048"/>
      <c r="J8" s="1048"/>
      <c r="L8" s="242">
        <f>'Breakdown Summary'!L13</f>
        <v>19.11</v>
      </c>
      <c r="M8" s="242">
        <f>'Breakdown Summary'!M13</f>
        <v>10.009886307464162</v>
      </c>
      <c r="N8" s="242">
        <f>'Breakdown Summary'!N13</f>
        <v>0</v>
      </c>
      <c r="O8" s="242">
        <f>'Breakdown Summary'!O13</f>
        <v>0</v>
      </c>
      <c r="P8" s="62">
        <f>'Breakdown Summary'!P13</f>
        <v>0</v>
      </c>
      <c r="Q8" s="60"/>
      <c r="R8" s="61"/>
      <c r="S8" s="61"/>
      <c r="U8" s="195"/>
      <c r="V8" s="195"/>
      <c r="W8" s="195"/>
      <c r="X8" s="195"/>
      <c r="Y8" s="195"/>
      <c r="AA8" s="62">
        <v>1</v>
      </c>
      <c r="AB8" s="62">
        <v>0</v>
      </c>
      <c r="AC8" s="62">
        <v>0</v>
      </c>
      <c r="AD8" s="62">
        <v>0</v>
      </c>
      <c r="AE8" s="62">
        <v>0</v>
      </c>
      <c r="AF8" s="60">
        <v>0</v>
      </c>
      <c r="AG8" s="61">
        <v>0</v>
      </c>
      <c r="AH8" s="61">
        <v>0</v>
      </c>
      <c r="AK8" t="s">
        <v>136</v>
      </c>
      <c r="AL8">
        <v>450</v>
      </c>
      <c r="AM8" s="11">
        <v>65.36</v>
      </c>
      <c r="AN8" s="83">
        <v>27.35</v>
      </c>
      <c r="AO8" s="83">
        <v>24.53</v>
      </c>
      <c r="AP8" s="85">
        <f t="shared" si="0"/>
        <v>2.8200000000000003</v>
      </c>
      <c r="AQ8" s="85"/>
      <c r="AR8"/>
      <c r="AS8"/>
      <c r="AT8" s="86">
        <f>AM8</f>
        <v>65.36</v>
      </c>
      <c r="AU8"/>
      <c r="AV8"/>
      <c r="AW8"/>
    </row>
    <row r="9" spans="1:49">
      <c r="A9" s="16"/>
      <c r="B9" s="3"/>
      <c r="C9" s="4"/>
      <c r="D9" s="4"/>
      <c r="E9" s="4"/>
      <c r="F9" s="5"/>
      <c r="G9" s="11"/>
      <c r="H9" s="12"/>
      <c r="I9" s="21"/>
      <c r="J9" s="12"/>
      <c r="L9" s="3"/>
      <c r="M9" s="58"/>
      <c r="N9" s="4"/>
      <c r="O9" s="58"/>
      <c r="P9" s="4"/>
      <c r="Q9" s="58"/>
      <c r="R9" s="58"/>
      <c r="S9" s="5"/>
      <c r="U9" s="21"/>
      <c r="V9" s="21"/>
      <c r="W9" s="21"/>
      <c r="X9" s="21"/>
      <c r="Y9" s="21"/>
      <c r="AA9" s="3"/>
      <c r="AB9" s="58"/>
      <c r="AC9" s="4"/>
      <c r="AD9" s="58"/>
      <c r="AE9" s="4"/>
      <c r="AF9" s="58"/>
      <c r="AG9" s="58"/>
      <c r="AH9" s="5"/>
      <c r="AK9" t="s">
        <v>137</v>
      </c>
      <c r="AL9">
        <v>450</v>
      </c>
      <c r="AM9" s="11">
        <v>11.2</v>
      </c>
      <c r="AN9" s="83">
        <v>27.2</v>
      </c>
      <c r="AO9" s="83">
        <v>24.504000000000001</v>
      </c>
      <c r="AP9" s="85">
        <f t="shared" si="0"/>
        <v>2.695999999999998</v>
      </c>
      <c r="AQ9" s="85"/>
      <c r="AT9" s="86">
        <f>AM9</f>
        <v>11.2</v>
      </c>
    </row>
    <row r="10" spans="1:49">
      <c r="A10" s="19">
        <v>8</v>
      </c>
      <c r="B10" s="20" t="s">
        <v>220</v>
      </c>
      <c r="F10" s="7"/>
      <c r="G10" s="11"/>
      <c r="H10" s="13"/>
      <c r="I10" s="21"/>
      <c r="J10" s="13"/>
      <c r="L10" s="6"/>
      <c r="M10" s="2"/>
      <c r="O10" s="2"/>
      <c r="Q10" s="2"/>
      <c r="R10" s="2"/>
      <c r="S10" s="7"/>
      <c r="U10" s="21"/>
      <c r="V10" s="21"/>
      <c r="W10" s="21"/>
      <c r="X10" s="21"/>
      <c r="Y10" s="21"/>
      <c r="AA10" s="6"/>
      <c r="AB10" s="2"/>
      <c r="AD10" s="2"/>
      <c r="AF10" s="2"/>
      <c r="AG10" s="2"/>
      <c r="AH10" s="7"/>
      <c r="AK10" t="s">
        <v>138</v>
      </c>
      <c r="AL10">
        <v>450</v>
      </c>
      <c r="AM10" s="11">
        <v>13.8</v>
      </c>
      <c r="AN10" s="83">
        <v>27</v>
      </c>
      <c r="AO10" s="83">
        <v>24.47</v>
      </c>
      <c r="AP10" s="85">
        <f t="shared" si="0"/>
        <v>2.5300000000000011</v>
      </c>
      <c r="AQ10" s="85"/>
      <c r="AT10" s="86">
        <f>AM10</f>
        <v>13.8</v>
      </c>
    </row>
    <row r="11" spans="1:49">
      <c r="A11" s="17"/>
      <c r="B11" s="6"/>
      <c r="F11" s="7"/>
      <c r="G11" s="11"/>
      <c r="H11" s="13"/>
      <c r="I11" s="21"/>
      <c r="J11" s="13"/>
      <c r="L11" s="6"/>
      <c r="M11" s="2"/>
      <c r="O11" s="2"/>
      <c r="Q11" s="2"/>
      <c r="R11" s="2"/>
      <c r="S11" s="7"/>
      <c r="U11" s="21"/>
      <c r="V11" s="21"/>
      <c r="W11" s="21"/>
      <c r="X11" s="21"/>
      <c r="Y11" s="21"/>
      <c r="AA11" s="6"/>
      <c r="AB11" s="2"/>
      <c r="AD11" s="2"/>
      <c r="AF11" s="2"/>
      <c r="AG11" s="2"/>
      <c r="AH11" s="7"/>
    </row>
    <row r="12" spans="1:49">
      <c r="A12" s="17"/>
      <c r="B12" s="6"/>
      <c r="F12" s="7"/>
      <c r="G12" s="11"/>
      <c r="H12" s="13"/>
      <c r="I12" s="21"/>
      <c r="J12" s="13"/>
      <c r="L12" s="6"/>
      <c r="M12" s="2"/>
      <c r="O12" s="2"/>
      <c r="Q12" s="2"/>
      <c r="R12" s="2"/>
      <c r="S12" s="7"/>
      <c r="U12" s="21"/>
      <c r="V12" s="21"/>
      <c r="W12" s="21"/>
      <c r="X12" s="21"/>
      <c r="Y12" s="21"/>
      <c r="AA12" s="6"/>
      <c r="AB12" s="2"/>
      <c r="AD12" s="2"/>
      <c r="AF12" s="2"/>
      <c r="AG12" s="2"/>
      <c r="AH12" s="7"/>
    </row>
    <row r="13" spans="1:49">
      <c r="A13" s="17"/>
      <c r="B13" s="20" t="s">
        <v>195</v>
      </c>
      <c r="F13" s="7"/>
      <c r="G13" s="11"/>
      <c r="H13" s="13"/>
      <c r="I13" s="21"/>
      <c r="J13" s="13"/>
      <c r="L13" s="6"/>
      <c r="M13" s="2"/>
      <c r="O13" s="2"/>
      <c r="Q13" s="2"/>
      <c r="R13" s="2"/>
      <c r="S13" s="7"/>
      <c r="U13" s="21"/>
      <c r="V13" s="21"/>
      <c r="W13" s="21"/>
      <c r="X13" s="21"/>
      <c r="Y13" s="21"/>
      <c r="AA13" s="6"/>
      <c r="AB13" s="2"/>
      <c r="AD13" s="2"/>
      <c r="AF13" s="2"/>
      <c r="AG13" s="2"/>
      <c r="AH13" s="7"/>
    </row>
    <row r="14" spans="1:49">
      <c r="A14" s="17"/>
      <c r="B14" s="6"/>
      <c r="F14" s="7"/>
      <c r="G14" s="11"/>
      <c r="H14" s="13"/>
      <c r="I14" s="21"/>
      <c r="J14" s="13"/>
      <c r="L14" s="6"/>
      <c r="M14" s="2"/>
      <c r="O14" s="2"/>
      <c r="Q14" s="2"/>
      <c r="R14" s="2"/>
      <c r="S14" s="7"/>
      <c r="U14" s="21"/>
      <c r="V14" s="21"/>
      <c r="W14" s="21"/>
      <c r="X14" s="21"/>
      <c r="Y14" s="21"/>
      <c r="AA14" s="6"/>
      <c r="AB14" s="2"/>
      <c r="AD14" s="2"/>
      <c r="AF14" s="2"/>
      <c r="AG14" s="2"/>
      <c r="AH14" s="7"/>
    </row>
    <row r="15" spans="1:49" ht="14.25" customHeight="1">
      <c r="A15" s="17"/>
      <c r="B15" s="6"/>
      <c r="C15" t="s">
        <v>196</v>
      </c>
      <c r="F15" s="7"/>
      <c r="G15" s="11">
        <v>2</v>
      </c>
      <c r="H15" s="13" t="s">
        <v>19</v>
      </c>
      <c r="I15" s="21">
        <v>48500</v>
      </c>
      <c r="J15" s="13">
        <f>G15*I15</f>
        <v>97000</v>
      </c>
      <c r="L15" s="644">
        <f>J15</f>
        <v>97000</v>
      </c>
      <c r="M15" s="649"/>
      <c r="O15" s="2"/>
      <c r="Q15" s="2"/>
      <c r="R15" s="2"/>
      <c r="S15" s="7"/>
      <c r="U15" s="21"/>
      <c r="V15" s="21"/>
      <c r="W15" s="21"/>
      <c r="X15" s="21"/>
      <c r="Y15" s="21"/>
      <c r="AA15" s="6"/>
      <c r="AB15" s="2"/>
      <c r="AD15" s="2"/>
      <c r="AF15" s="2"/>
      <c r="AG15" s="2"/>
      <c r="AH15" s="7"/>
    </row>
    <row r="16" spans="1:49" ht="14.25" customHeight="1">
      <c r="A16" s="17"/>
      <c r="B16" s="6"/>
      <c r="C16" t="s">
        <v>197</v>
      </c>
      <c r="F16" s="7"/>
      <c r="G16" s="11">
        <v>2</v>
      </c>
      <c r="H16" s="13" t="s">
        <v>19</v>
      </c>
      <c r="I16" s="21">
        <v>45000</v>
      </c>
      <c r="J16" s="13">
        <f t="shared" ref="J16:J21" si="1">G16*I16</f>
        <v>90000</v>
      </c>
      <c r="L16" s="644">
        <f t="shared" ref="L16:L21" si="2">J16</f>
        <v>90000</v>
      </c>
      <c r="M16" s="649"/>
      <c r="O16" s="2"/>
      <c r="Q16" s="2"/>
      <c r="R16" s="2"/>
      <c r="S16" s="7"/>
      <c r="U16" s="21"/>
      <c r="V16" s="21"/>
      <c r="W16" s="21"/>
      <c r="X16" s="21"/>
      <c r="Y16" s="21"/>
      <c r="AA16" s="6"/>
      <c r="AB16" s="2"/>
      <c r="AD16" s="2"/>
      <c r="AF16" s="2"/>
      <c r="AG16" s="2"/>
      <c r="AH16" s="7"/>
    </row>
    <row r="17" spans="1:34" ht="14.25" customHeight="1">
      <c r="A17" s="17"/>
      <c r="B17" s="6"/>
      <c r="C17" t="s">
        <v>198</v>
      </c>
      <c r="F17" s="7"/>
      <c r="G17" s="11">
        <v>2</v>
      </c>
      <c r="H17" s="13" t="s">
        <v>19</v>
      </c>
      <c r="I17" s="21">
        <v>3800</v>
      </c>
      <c r="J17" s="13">
        <f t="shared" si="1"/>
        <v>7600</v>
      </c>
      <c r="L17" s="644">
        <f t="shared" si="2"/>
        <v>7600</v>
      </c>
      <c r="M17" s="649"/>
      <c r="O17" s="2"/>
      <c r="Q17" s="2"/>
      <c r="R17" s="2"/>
      <c r="S17" s="7"/>
      <c r="U17" s="21"/>
      <c r="V17" s="21"/>
      <c r="W17" s="21"/>
      <c r="X17" s="21"/>
      <c r="Y17" s="21"/>
      <c r="AA17" s="6"/>
      <c r="AB17" s="2"/>
      <c r="AD17" s="2"/>
      <c r="AF17" s="2"/>
      <c r="AG17" s="2"/>
      <c r="AH17" s="7"/>
    </row>
    <row r="18" spans="1:34" ht="14.25" customHeight="1">
      <c r="A18" s="17"/>
      <c r="B18" s="6"/>
      <c r="C18" t="s">
        <v>199</v>
      </c>
      <c r="F18" s="7"/>
      <c r="G18" s="11">
        <v>2</v>
      </c>
      <c r="H18" s="13" t="s">
        <v>19</v>
      </c>
      <c r="I18" s="21">
        <v>8000</v>
      </c>
      <c r="J18" s="13">
        <f t="shared" si="1"/>
        <v>16000</v>
      </c>
      <c r="L18" s="644">
        <f t="shared" si="2"/>
        <v>16000</v>
      </c>
      <c r="M18" s="649"/>
      <c r="O18" s="2"/>
      <c r="Q18" s="2"/>
      <c r="R18" s="2"/>
      <c r="S18" s="7"/>
      <c r="U18" s="21"/>
      <c r="V18" s="21"/>
      <c r="W18" s="21"/>
      <c r="X18" s="21"/>
      <c r="Y18" s="21"/>
      <c r="AA18" s="6"/>
      <c r="AB18" s="2"/>
      <c r="AD18" s="2"/>
      <c r="AF18" s="2"/>
      <c r="AG18" s="2"/>
      <c r="AH18" s="7"/>
    </row>
    <row r="19" spans="1:34" ht="14.25" customHeight="1">
      <c r="A19" s="17"/>
      <c r="B19" s="6"/>
      <c r="C19" t="s">
        <v>200</v>
      </c>
      <c r="F19" s="7"/>
      <c r="G19" s="11">
        <v>2</v>
      </c>
      <c r="H19" s="13" t="s">
        <v>19</v>
      </c>
      <c r="I19" s="21">
        <v>5500</v>
      </c>
      <c r="J19" s="13">
        <f t="shared" si="1"/>
        <v>11000</v>
      </c>
      <c r="L19" s="644">
        <f t="shared" si="2"/>
        <v>11000</v>
      </c>
      <c r="M19" s="649"/>
      <c r="O19" s="2"/>
      <c r="Q19" s="2"/>
      <c r="R19" s="2"/>
      <c r="S19" s="7"/>
      <c r="U19" s="21"/>
      <c r="V19" s="21"/>
      <c r="W19" s="21"/>
      <c r="X19" s="21"/>
      <c r="Y19" s="21"/>
      <c r="AA19" s="6"/>
      <c r="AB19" s="2"/>
      <c r="AD19" s="2"/>
      <c r="AF19" s="2"/>
      <c r="AG19" s="2"/>
      <c r="AH19" s="7"/>
    </row>
    <row r="20" spans="1:34" ht="14.25" customHeight="1">
      <c r="A20" s="17"/>
      <c r="B20" s="6"/>
      <c r="C20" t="s">
        <v>201</v>
      </c>
      <c r="F20" s="7"/>
      <c r="G20" s="11">
        <f>'FW Drainage Take-off'!F204</f>
        <v>1503.175829735756</v>
      </c>
      <c r="H20" s="13" t="s">
        <v>4</v>
      </c>
      <c r="I20" s="21">
        <v>165</v>
      </c>
      <c r="J20" s="13">
        <f t="shared" si="1"/>
        <v>248024.01190639974</v>
      </c>
      <c r="L20" s="644">
        <f t="shared" si="2"/>
        <v>248024.01190639974</v>
      </c>
      <c r="M20" s="649"/>
      <c r="O20" s="2"/>
      <c r="Q20" s="2"/>
      <c r="R20" s="2"/>
      <c r="S20" s="7"/>
      <c r="U20" s="21"/>
      <c r="V20" s="21"/>
      <c r="W20" s="21"/>
      <c r="X20" s="21"/>
      <c r="Y20" s="21"/>
      <c r="AA20" s="6"/>
      <c r="AB20" s="2"/>
      <c r="AD20" s="2"/>
      <c r="AF20" s="2"/>
      <c r="AG20" s="2"/>
      <c r="AH20" s="7"/>
    </row>
    <row r="21" spans="1:34" ht="14.25" customHeight="1">
      <c r="A21" s="17"/>
      <c r="B21" s="6"/>
      <c r="C21" t="s">
        <v>202</v>
      </c>
      <c r="F21" s="7"/>
      <c r="G21" s="11">
        <v>1</v>
      </c>
      <c r="H21" s="13" t="s">
        <v>19</v>
      </c>
      <c r="I21" s="21">
        <v>8500</v>
      </c>
      <c r="J21" s="13">
        <f t="shared" si="1"/>
        <v>8500</v>
      </c>
      <c r="L21" s="644">
        <f t="shared" si="2"/>
        <v>8500</v>
      </c>
      <c r="M21" s="649"/>
      <c r="O21" s="2"/>
      <c r="Q21" s="2"/>
      <c r="R21" s="2"/>
      <c r="S21" s="7"/>
      <c r="U21" s="21"/>
      <c r="V21" s="21"/>
      <c r="W21" s="21"/>
      <c r="X21" s="21"/>
      <c r="Y21" s="21"/>
      <c r="AA21" s="6"/>
      <c r="AB21" s="2"/>
      <c r="AD21" s="2"/>
      <c r="AF21" s="2"/>
      <c r="AG21" s="2"/>
      <c r="AH21" s="7"/>
    </row>
    <row r="22" spans="1:34" ht="14.25" customHeight="1">
      <c r="A22" s="17"/>
      <c r="B22" s="6"/>
      <c r="F22" s="7"/>
      <c r="G22" s="11"/>
      <c r="H22" s="13"/>
      <c r="I22" s="21"/>
      <c r="J22" s="13"/>
      <c r="L22" s="6"/>
      <c r="M22" s="2"/>
      <c r="O22" s="2"/>
      <c r="Q22" s="2"/>
      <c r="R22" s="2"/>
      <c r="S22" s="7"/>
      <c r="U22" s="21"/>
      <c r="V22" s="21"/>
      <c r="W22" s="21"/>
      <c r="X22" s="21"/>
      <c r="Y22" s="21"/>
      <c r="AA22" s="6"/>
      <c r="AB22" s="2"/>
      <c r="AD22" s="2"/>
      <c r="AF22" s="2"/>
      <c r="AG22" s="2"/>
      <c r="AH22" s="7"/>
    </row>
    <row r="23" spans="1:34" ht="14.25" customHeight="1">
      <c r="A23" s="17"/>
      <c r="B23" s="6"/>
      <c r="F23" s="7"/>
      <c r="G23" s="11"/>
      <c r="H23" s="13"/>
      <c r="I23" s="21"/>
      <c r="J23" s="13"/>
      <c r="L23" s="6"/>
      <c r="M23" s="2"/>
      <c r="O23" s="2"/>
      <c r="Q23" s="2"/>
      <c r="R23" s="2"/>
      <c r="S23" s="7"/>
      <c r="U23" s="21"/>
      <c r="V23" s="21"/>
      <c r="W23" s="21"/>
      <c r="X23" s="21"/>
      <c r="Y23" s="21"/>
      <c r="AA23" s="6"/>
      <c r="AB23" s="2"/>
      <c r="AD23" s="2"/>
      <c r="AF23" s="2"/>
      <c r="AG23" s="2"/>
      <c r="AH23" s="7"/>
    </row>
    <row r="24" spans="1:34" ht="14.25" customHeight="1">
      <c r="A24" s="17"/>
      <c r="B24" t="s">
        <v>715</v>
      </c>
      <c r="F24" s="7"/>
      <c r="G24" s="11"/>
      <c r="H24" s="13"/>
      <c r="I24" s="21"/>
      <c r="J24" s="13"/>
      <c r="L24" s="6"/>
      <c r="M24" s="2"/>
      <c r="O24" s="2"/>
      <c r="Q24" s="2"/>
      <c r="R24" s="2"/>
      <c r="S24" s="7"/>
      <c r="U24" s="21"/>
      <c r="V24" s="21"/>
      <c r="W24" s="21"/>
      <c r="X24" s="21"/>
      <c r="Y24" s="21"/>
      <c r="AA24" s="6"/>
      <c r="AB24" s="2"/>
      <c r="AD24" s="2"/>
      <c r="AF24" s="2"/>
      <c r="AG24" s="2"/>
      <c r="AH24" s="7"/>
    </row>
    <row r="25" spans="1:34" ht="14.25" customHeight="1">
      <c r="A25" s="17"/>
      <c r="B25" s="6"/>
      <c r="F25" s="7"/>
      <c r="G25" s="11"/>
      <c r="H25" s="13"/>
      <c r="I25" s="21"/>
      <c r="J25" s="13"/>
      <c r="L25" s="6"/>
      <c r="M25" s="2"/>
      <c r="O25" s="2"/>
      <c r="Q25" s="2"/>
      <c r="R25" s="2"/>
      <c r="S25" s="7"/>
      <c r="U25" s="21"/>
      <c r="V25" s="21"/>
      <c r="W25" s="21"/>
      <c r="X25" s="21"/>
      <c r="Y25" s="21"/>
      <c r="AA25" s="6"/>
      <c r="AB25" s="2"/>
      <c r="AD25" s="2"/>
      <c r="AF25" s="2"/>
      <c r="AG25" s="2"/>
      <c r="AH25" s="7"/>
    </row>
    <row r="26" spans="1:34" ht="14.25" customHeight="1">
      <c r="A26" s="17"/>
      <c r="B26" s="6"/>
      <c r="C26" t="s">
        <v>714</v>
      </c>
      <c r="F26" s="7"/>
      <c r="G26" s="11"/>
      <c r="H26" s="13" t="s">
        <v>4</v>
      </c>
      <c r="I26" s="21">
        <v>35</v>
      </c>
      <c r="J26" s="13">
        <f>G26*I26</f>
        <v>0</v>
      </c>
      <c r="L26" s="644">
        <f>J26</f>
        <v>0</v>
      </c>
      <c r="M26" s="2"/>
      <c r="O26" s="2"/>
      <c r="Q26" s="2"/>
      <c r="R26" s="2"/>
      <c r="S26" s="7"/>
      <c r="U26" s="21"/>
      <c r="V26" s="21"/>
      <c r="W26" s="21"/>
      <c r="X26" s="21"/>
      <c r="Y26" s="21"/>
      <c r="AA26" s="6"/>
      <c r="AB26" s="2"/>
      <c r="AD26" s="2"/>
      <c r="AF26" s="2"/>
      <c r="AG26" s="2"/>
      <c r="AH26" s="7"/>
    </row>
    <row r="27" spans="1:34" ht="14.25" customHeight="1">
      <c r="A27" s="17"/>
      <c r="B27" s="6"/>
      <c r="F27" s="7"/>
      <c r="G27" s="11"/>
      <c r="H27" s="13"/>
      <c r="I27" s="21"/>
      <c r="J27" s="13"/>
      <c r="L27" s="6"/>
      <c r="M27" s="2"/>
      <c r="O27" s="2"/>
      <c r="Q27" s="2"/>
      <c r="R27" s="2"/>
      <c r="S27" s="7"/>
      <c r="U27" s="21"/>
      <c r="V27" s="21"/>
      <c r="W27" s="21"/>
      <c r="X27" s="21"/>
      <c r="Y27" s="21"/>
      <c r="AA27" s="6"/>
      <c r="AB27" s="2"/>
      <c r="AD27" s="2"/>
      <c r="AF27" s="2"/>
      <c r="AG27" s="2"/>
      <c r="AH27" s="7"/>
    </row>
    <row r="28" spans="1:34" ht="14.25" customHeight="1">
      <c r="A28" s="17"/>
      <c r="B28" s="6"/>
      <c r="C28" t="s">
        <v>713</v>
      </c>
      <c r="F28" s="7"/>
      <c r="G28" s="11">
        <v>150</v>
      </c>
      <c r="H28" s="13" t="s">
        <v>4</v>
      </c>
      <c r="I28" s="21">
        <v>85</v>
      </c>
      <c r="J28" s="13">
        <f>G28*I28</f>
        <v>12750</v>
      </c>
      <c r="L28" s="644">
        <f>J28</f>
        <v>12750</v>
      </c>
      <c r="M28" s="2"/>
      <c r="O28" s="2"/>
      <c r="Q28" s="2"/>
      <c r="R28" s="2"/>
      <c r="S28" s="7"/>
      <c r="U28" s="65"/>
      <c r="V28" s="65"/>
      <c r="W28" s="65"/>
      <c r="X28" s="65"/>
      <c r="Y28" s="65"/>
      <c r="AA28" s="6"/>
      <c r="AB28" s="2"/>
      <c r="AD28" s="2"/>
      <c r="AF28" s="2"/>
      <c r="AG28" s="2"/>
      <c r="AH28" s="7"/>
    </row>
    <row r="29" spans="1:34">
      <c r="A29" s="17"/>
      <c r="B29" s="6"/>
      <c r="F29" s="7"/>
      <c r="G29" s="11"/>
      <c r="H29" s="13"/>
      <c r="I29" s="21"/>
      <c r="J29" s="13"/>
      <c r="L29" s="6"/>
      <c r="M29" s="2"/>
      <c r="O29" s="2"/>
      <c r="Q29" s="2"/>
      <c r="R29" s="2"/>
      <c r="S29" s="7"/>
      <c r="U29" s="21"/>
      <c r="V29" s="21"/>
      <c r="W29" s="21"/>
      <c r="X29" s="21"/>
      <c r="Y29" s="21"/>
      <c r="AA29" s="6"/>
      <c r="AB29" s="2"/>
      <c r="AD29" s="2"/>
      <c r="AF29" s="2"/>
      <c r="AG29" s="2"/>
      <c r="AH29" s="7"/>
    </row>
    <row r="30" spans="1:34" ht="34" customHeight="1">
      <c r="A30" s="17"/>
      <c r="B30" s="6"/>
      <c r="C30" s="1152" t="s">
        <v>712</v>
      </c>
      <c r="D30" s="1152"/>
      <c r="E30" s="1152"/>
      <c r="F30" s="1153"/>
      <c r="G30" s="11">
        <v>270</v>
      </c>
      <c r="H30" s="13" t="s">
        <v>4</v>
      </c>
      <c r="I30" s="21">
        <v>85</v>
      </c>
      <c r="J30" s="13">
        <f>G30*I30</f>
        <v>22950</v>
      </c>
      <c r="L30" s="644">
        <f>J30</f>
        <v>22950</v>
      </c>
      <c r="M30" s="2"/>
      <c r="O30" s="2"/>
      <c r="Q30" s="2"/>
      <c r="R30" s="2"/>
      <c r="S30" s="7"/>
      <c r="AA30" s="6"/>
      <c r="AB30" s="2"/>
      <c r="AD30" s="2"/>
      <c r="AF30" s="2"/>
      <c r="AG30" s="2"/>
      <c r="AH30" s="7"/>
    </row>
    <row r="31" spans="1:34">
      <c r="A31" s="17"/>
      <c r="B31" s="6"/>
      <c r="F31" s="7"/>
      <c r="G31" s="11"/>
      <c r="H31" s="13"/>
      <c r="I31" s="21"/>
      <c r="J31" s="13"/>
      <c r="L31" s="6"/>
      <c r="M31" s="2"/>
      <c r="O31" s="2"/>
      <c r="Q31" s="2"/>
      <c r="R31" s="2"/>
      <c r="S31" s="7"/>
      <c r="AA31" s="64"/>
      <c r="AB31" s="2"/>
      <c r="AD31" s="2"/>
      <c r="AE31" s="2"/>
      <c r="AG31" s="2"/>
      <c r="AH31" s="7"/>
    </row>
    <row r="32" spans="1:34">
      <c r="A32" s="17"/>
      <c r="B32" s="6"/>
      <c r="C32" t="s">
        <v>742</v>
      </c>
      <c r="F32" s="7"/>
      <c r="G32" s="11">
        <f>G30</f>
        <v>270</v>
      </c>
      <c r="H32" s="13" t="s">
        <v>4</v>
      </c>
      <c r="I32" s="21">
        <v>45</v>
      </c>
      <c r="J32" s="13">
        <f>G32*I32</f>
        <v>12150</v>
      </c>
      <c r="L32" s="644">
        <f>J32</f>
        <v>12150</v>
      </c>
      <c r="M32" s="2"/>
      <c r="O32" s="2"/>
      <c r="Q32" s="2"/>
      <c r="R32" s="2"/>
      <c r="S32" s="7"/>
      <c r="AA32" s="6"/>
      <c r="AB32" s="2"/>
      <c r="AD32" s="2"/>
      <c r="AF32" s="2"/>
      <c r="AG32" s="2"/>
      <c r="AH32" s="7"/>
    </row>
    <row r="33" spans="1:34">
      <c r="A33" s="17"/>
      <c r="B33" s="6"/>
      <c r="F33" s="7"/>
      <c r="G33" s="11"/>
      <c r="H33" s="13"/>
      <c r="I33" s="21"/>
      <c r="J33" s="13"/>
      <c r="L33" s="6"/>
      <c r="M33" s="2"/>
      <c r="O33" s="2"/>
      <c r="Q33" s="2"/>
      <c r="R33" s="2"/>
      <c r="S33" s="7"/>
      <c r="AA33" s="64"/>
      <c r="AB33" s="2"/>
      <c r="AD33" s="2"/>
      <c r="AE33" s="2"/>
      <c r="AG33" s="2"/>
      <c r="AH33" s="7"/>
    </row>
    <row r="34" spans="1:34">
      <c r="A34" s="17"/>
      <c r="B34" s="6"/>
      <c r="C34" t="s">
        <v>716</v>
      </c>
      <c r="F34" s="7"/>
      <c r="G34" s="11">
        <v>8</v>
      </c>
      <c r="H34" s="13" t="s">
        <v>19</v>
      </c>
      <c r="I34" s="21">
        <v>2450</v>
      </c>
      <c r="J34" s="13">
        <f>G34*I34</f>
        <v>19600</v>
      </c>
      <c r="L34" s="644">
        <f>J34</f>
        <v>19600</v>
      </c>
      <c r="M34" s="2"/>
      <c r="O34" s="2"/>
      <c r="Q34" s="2"/>
      <c r="R34" s="2"/>
      <c r="S34" s="7"/>
      <c r="AA34" s="6"/>
      <c r="AB34" s="2"/>
      <c r="AD34" s="2"/>
      <c r="AF34" s="2"/>
      <c r="AG34" s="2"/>
      <c r="AH34" s="7"/>
    </row>
    <row r="35" spans="1:34">
      <c r="A35" s="17"/>
      <c r="B35" s="6"/>
      <c r="F35" s="7"/>
      <c r="G35" s="11"/>
      <c r="H35" s="13"/>
      <c r="I35" s="21"/>
      <c r="J35" s="13"/>
      <c r="L35" s="6"/>
      <c r="M35" s="2"/>
      <c r="O35" s="2"/>
      <c r="Q35" s="2"/>
      <c r="R35" s="2"/>
      <c r="S35" s="7"/>
      <c r="AA35" s="64"/>
      <c r="AB35" s="2"/>
      <c r="AD35" s="2"/>
      <c r="AE35" s="2"/>
      <c r="AG35" s="2"/>
      <c r="AH35" s="7"/>
    </row>
    <row r="36" spans="1:34">
      <c r="A36" s="17"/>
      <c r="B36" s="6"/>
      <c r="F36" s="7"/>
      <c r="G36" s="11"/>
      <c r="H36" s="13"/>
      <c r="I36" s="21"/>
      <c r="J36" s="13"/>
      <c r="L36" s="6"/>
      <c r="M36" s="2"/>
      <c r="O36" s="2"/>
      <c r="Q36" s="2"/>
      <c r="R36" s="2"/>
      <c r="S36" s="7"/>
      <c r="AA36" s="64"/>
      <c r="AB36" s="2"/>
      <c r="AD36" s="2"/>
      <c r="AE36" s="2"/>
      <c r="AG36" s="2"/>
      <c r="AH36" s="7"/>
    </row>
    <row r="37" spans="1:34" ht="16" thickBot="1">
      <c r="A37" s="17"/>
      <c r="B37" s="6"/>
      <c r="F37" s="7"/>
      <c r="G37" s="11"/>
      <c r="H37" s="13"/>
      <c r="I37" s="21"/>
      <c r="J37" s="47">
        <f>SUM(J9:J36)</f>
        <v>545574.01190639974</v>
      </c>
      <c r="L37" s="47">
        <f t="shared" ref="L37:S37" si="3">SUM(L9:L36)</f>
        <v>545574.01190639974</v>
      </c>
      <c r="M37" s="47">
        <f t="shared" si="3"/>
        <v>0</v>
      </c>
      <c r="N37" s="47">
        <f t="shared" si="3"/>
        <v>0</v>
      </c>
      <c r="O37" s="47">
        <f t="shared" si="3"/>
        <v>0</v>
      </c>
      <c r="P37" s="47">
        <f t="shared" si="3"/>
        <v>0</v>
      </c>
      <c r="Q37" s="47">
        <f t="shared" si="3"/>
        <v>0</v>
      </c>
      <c r="R37" s="47">
        <f t="shared" si="3"/>
        <v>0</v>
      </c>
      <c r="S37" s="47">
        <f t="shared" si="3"/>
        <v>0</v>
      </c>
      <c r="AA37" s="47">
        <f t="shared" ref="AA37:AH37" si="4">SUM(AA9:AA35)</f>
        <v>0</v>
      </c>
      <c r="AB37" s="47">
        <f t="shared" si="4"/>
        <v>0</v>
      </c>
      <c r="AC37" s="47">
        <f t="shared" si="4"/>
        <v>0</v>
      </c>
      <c r="AD37" s="47">
        <f t="shared" si="4"/>
        <v>0</v>
      </c>
      <c r="AE37" s="47">
        <f t="shared" si="4"/>
        <v>0</v>
      </c>
      <c r="AF37" s="47">
        <f t="shared" si="4"/>
        <v>0</v>
      </c>
      <c r="AG37" s="47">
        <f t="shared" si="4"/>
        <v>0</v>
      </c>
      <c r="AH37" s="47">
        <f t="shared" si="4"/>
        <v>0</v>
      </c>
    </row>
    <row r="38" spans="1:34">
      <c r="A38" s="18"/>
      <c r="B38" s="8"/>
      <c r="C38" s="9"/>
      <c r="D38" s="9"/>
      <c r="E38" s="9"/>
      <c r="F38" s="10"/>
      <c r="G38" s="14"/>
      <c r="H38" s="15"/>
      <c r="I38" s="23"/>
      <c r="J38" s="15"/>
      <c r="L38" s="8"/>
      <c r="M38" s="63"/>
      <c r="N38" s="9"/>
      <c r="O38" s="63"/>
      <c r="P38" s="9"/>
      <c r="Q38" s="63"/>
      <c r="R38" s="63"/>
      <c r="S38" s="10"/>
      <c r="AA38" s="63"/>
      <c r="AB38" s="9"/>
      <c r="AC38" s="63"/>
      <c r="AD38" s="9"/>
      <c r="AE38" s="63"/>
      <c r="AF38" s="9"/>
      <c r="AG38" s="63"/>
      <c r="AH38" s="63"/>
    </row>
  </sheetData>
  <mergeCells count="20">
    <mergeCell ref="I5:I8"/>
    <mergeCell ref="H2:I2"/>
    <mergeCell ref="J5:J8"/>
    <mergeCell ref="AA5:AH5"/>
    <mergeCell ref="AA6:AE6"/>
    <mergeCell ref="AF6:AF7"/>
    <mergeCell ref="AG6:AG7"/>
    <mergeCell ref="AH6:AH7"/>
    <mergeCell ref="L5:S5"/>
    <mergeCell ref="Q6:Q7"/>
    <mergeCell ref="R6:R7"/>
    <mergeCell ref="S6:S7"/>
    <mergeCell ref="L6:M6"/>
    <mergeCell ref="N6:O6"/>
    <mergeCell ref="P6:P7"/>
    <mergeCell ref="C30:F30"/>
    <mergeCell ref="A5:A8"/>
    <mergeCell ref="B5:F8"/>
    <mergeCell ref="G5:G8"/>
    <mergeCell ref="H5:H8"/>
  </mergeCells>
  <printOptions horizontalCentered="1"/>
  <pageMargins left="0.261811024" right="0.511811023622047" top="0.55118110236220497" bottom="0.55118110236220497" header="0.31496062992126" footer="0.31496062992126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AB7E1-B42C-A04B-8A35-5C2B4867E0A6}">
  <sheetPr>
    <tabColor rgb="FF92D050"/>
    <pageSetUpPr fitToPage="1"/>
  </sheetPr>
  <dimension ref="A2:I232"/>
  <sheetViews>
    <sheetView view="pageBreakPreview" topLeftCell="A196" zoomScale="157" zoomScaleNormal="100" zoomScaleSheetLayoutView="157" workbookViewId="0">
      <selection activeCell="L107" sqref="L107"/>
    </sheetView>
  </sheetViews>
  <sheetFormatPr baseColWidth="10" defaultColWidth="8.83203125" defaultRowHeight="12"/>
  <cols>
    <col min="1" max="1" width="35" style="1012" customWidth="1"/>
    <col min="2" max="2" width="10" style="1012" customWidth="1"/>
    <col min="3" max="4" width="8.6640625" style="1012" customWidth="1"/>
    <col min="5" max="5" width="11.1640625" style="1012" customWidth="1"/>
    <col min="6" max="7" width="8.6640625" style="1012" customWidth="1"/>
    <col min="8" max="8" width="17.83203125" style="1012" customWidth="1"/>
    <col min="9" max="9" width="18.1640625" style="1012" customWidth="1"/>
    <col min="10" max="10" width="5.5" style="1012" customWidth="1"/>
    <col min="11" max="243" width="8.83203125" style="1012"/>
    <col min="244" max="244" width="4.5" style="1012" customWidth="1"/>
    <col min="245" max="245" width="35" style="1012" customWidth="1"/>
    <col min="246" max="246" width="10" style="1012" customWidth="1"/>
    <col min="247" max="248" width="8.6640625" style="1012" customWidth="1"/>
    <col min="249" max="249" width="11.1640625" style="1012" customWidth="1"/>
    <col min="250" max="251" width="8.6640625" style="1012" customWidth="1"/>
    <col min="252" max="252" width="17.83203125" style="1012" customWidth="1"/>
    <col min="253" max="253" width="18.1640625" style="1012" customWidth="1"/>
    <col min="254" max="254" width="5.5" style="1012" customWidth="1"/>
    <col min="255" max="255" width="35" style="1012" customWidth="1"/>
    <col min="256" max="256" width="10" style="1012" customWidth="1"/>
    <col min="257" max="258" width="8.6640625" style="1012" customWidth="1"/>
    <col min="259" max="259" width="10.1640625" style="1012" customWidth="1"/>
    <col min="260" max="261" width="8.6640625" style="1012" customWidth="1"/>
    <col min="262" max="262" width="18.33203125" style="1012" customWidth="1"/>
    <col min="263" max="263" width="18.5" style="1012" customWidth="1"/>
    <col min="264" max="264" width="6.33203125" style="1012" customWidth="1"/>
    <col min="265" max="265" width="19.83203125" style="1012" customWidth="1"/>
    <col min="266" max="499" width="8.83203125" style="1012"/>
    <col min="500" max="500" width="4.5" style="1012" customWidth="1"/>
    <col min="501" max="501" width="35" style="1012" customWidth="1"/>
    <col min="502" max="502" width="10" style="1012" customWidth="1"/>
    <col min="503" max="504" width="8.6640625" style="1012" customWidth="1"/>
    <col min="505" max="505" width="11.1640625" style="1012" customWidth="1"/>
    <col min="506" max="507" width="8.6640625" style="1012" customWidth="1"/>
    <col min="508" max="508" width="17.83203125" style="1012" customWidth="1"/>
    <col min="509" max="509" width="18.1640625" style="1012" customWidth="1"/>
    <col min="510" max="510" width="5.5" style="1012" customWidth="1"/>
    <col min="511" max="511" width="35" style="1012" customWidth="1"/>
    <col min="512" max="512" width="10" style="1012" customWidth="1"/>
    <col min="513" max="514" width="8.6640625" style="1012" customWidth="1"/>
    <col min="515" max="515" width="10.1640625" style="1012" customWidth="1"/>
    <col min="516" max="517" width="8.6640625" style="1012" customWidth="1"/>
    <col min="518" max="518" width="18.33203125" style="1012" customWidth="1"/>
    <col min="519" max="519" width="18.5" style="1012" customWidth="1"/>
    <col min="520" max="520" width="6.33203125" style="1012" customWidth="1"/>
    <col min="521" max="521" width="19.83203125" style="1012" customWidth="1"/>
    <col min="522" max="755" width="8.83203125" style="1012"/>
    <col min="756" max="756" width="4.5" style="1012" customWidth="1"/>
    <col min="757" max="757" width="35" style="1012" customWidth="1"/>
    <col min="758" max="758" width="10" style="1012" customWidth="1"/>
    <col min="759" max="760" width="8.6640625" style="1012" customWidth="1"/>
    <col min="761" max="761" width="11.1640625" style="1012" customWidth="1"/>
    <col min="762" max="763" width="8.6640625" style="1012" customWidth="1"/>
    <col min="764" max="764" width="17.83203125" style="1012" customWidth="1"/>
    <col min="765" max="765" width="18.1640625" style="1012" customWidth="1"/>
    <col min="766" max="766" width="5.5" style="1012" customWidth="1"/>
    <col min="767" max="767" width="35" style="1012" customWidth="1"/>
    <col min="768" max="768" width="10" style="1012" customWidth="1"/>
    <col min="769" max="770" width="8.6640625" style="1012" customWidth="1"/>
    <col min="771" max="771" width="10.1640625" style="1012" customWidth="1"/>
    <col min="772" max="773" width="8.6640625" style="1012" customWidth="1"/>
    <col min="774" max="774" width="18.33203125" style="1012" customWidth="1"/>
    <col min="775" max="775" width="18.5" style="1012" customWidth="1"/>
    <col min="776" max="776" width="6.33203125" style="1012" customWidth="1"/>
    <col min="777" max="777" width="19.83203125" style="1012" customWidth="1"/>
    <col min="778" max="1011" width="8.83203125" style="1012"/>
    <col min="1012" max="1012" width="4.5" style="1012" customWidth="1"/>
    <col min="1013" max="1013" width="35" style="1012" customWidth="1"/>
    <col min="1014" max="1014" width="10" style="1012" customWidth="1"/>
    <col min="1015" max="1016" width="8.6640625" style="1012" customWidth="1"/>
    <col min="1017" max="1017" width="11.1640625" style="1012" customWidth="1"/>
    <col min="1018" max="1019" width="8.6640625" style="1012" customWidth="1"/>
    <col min="1020" max="1020" width="17.83203125" style="1012" customWidth="1"/>
    <col min="1021" max="1021" width="18.1640625" style="1012" customWidth="1"/>
    <col min="1022" max="1022" width="5.5" style="1012" customWidth="1"/>
    <col min="1023" max="1023" width="35" style="1012" customWidth="1"/>
    <col min="1024" max="1024" width="10" style="1012" customWidth="1"/>
    <col min="1025" max="1026" width="8.6640625" style="1012" customWidth="1"/>
    <col min="1027" max="1027" width="10.1640625" style="1012" customWidth="1"/>
    <col min="1028" max="1029" width="8.6640625" style="1012" customWidth="1"/>
    <col min="1030" max="1030" width="18.33203125" style="1012" customWidth="1"/>
    <col min="1031" max="1031" width="18.5" style="1012" customWidth="1"/>
    <col min="1032" max="1032" width="6.33203125" style="1012" customWidth="1"/>
    <col min="1033" max="1033" width="19.83203125" style="1012" customWidth="1"/>
    <col min="1034" max="1267" width="8.83203125" style="1012"/>
    <col min="1268" max="1268" width="4.5" style="1012" customWidth="1"/>
    <col min="1269" max="1269" width="35" style="1012" customWidth="1"/>
    <col min="1270" max="1270" width="10" style="1012" customWidth="1"/>
    <col min="1271" max="1272" width="8.6640625" style="1012" customWidth="1"/>
    <col min="1273" max="1273" width="11.1640625" style="1012" customWidth="1"/>
    <col min="1274" max="1275" width="8.6640625" style="1012" customWidth="1"/>
    <col min="1276" max="1276" width="17.83203125" style="1012" customWidth="1"/>
    <col min="1277" max="1277" width="18.1640625" style="1012" customWidth="1"/>
    <col min="1278" max="1278" width="5.5" style="1012" customWidth="1"/>
    <col min="1279" max="1279" width="35" style="1012" customWidth="1"/>
    <col min="1280" max="1280" width="10" style="1012" customWidth="1"/>
    <col min="1281" max="1282" width="8.6640625" style="1012" customWidth="1"/>
    <col min="1283" max="1283" width="10.1640625" style="1012" customWidth="1"/>
    <col min="1284" max="1285" width="8.6640625" style="1012" customWidth="1"/>
    <col min="1286" max="1286" width="18.33203125" style="1012" customWidth="1"/>
    <col min="1287" max="1287" width="18.5" style="1012" customWidth="1"/>
    <col min="1288" max="1288" width="6.33203125" style="1012" customWidth="1"/>
    <col min="1289" max="1289" width="19.83203125" style="1012" customWidth="1"/>
    <col min="1290" max="1523" width="8.83203125" style="1012"/>
    <col min="1524" max="1524" width="4.5" style="1012" customWidth="1"/>
    <col min="1525" max="1525" width="35" style="1012" customWidth="1"/>
    <col min="1526" max="1526" width="10" style="1012" customWidth="1"/>
    <col min="1527" max="1528" width="8.6640625" style="1012" customWidth="1"/>
    <col min="1529" max="1529" width="11.1640625" style="1012" customWidth="1"/>
    <col min="1530" max="1531" width="8.6640625" style="1012" customWidth="1"/>
    <col min="1532" max="1532" width="17.83203125" style="1012" customWidth="1"/>
    <col min="1533" max="1533" width="18.1640625" style="1012" customWidth="1"/>
    <col min="1534" max="1534" width="5.5" style="1012" customWidth="1"/>
    <col min="1535" max="1535" width="35" style="1012" customWidth="1"/>
    <col min="1536" max="1536" width="10" style="1012" customWidth="1"/>
    <col min="1537" max="1538" width="8.6640625" style="1012" customWidth="1"/>
    <col min="1539" max="1539" width="10.1640625" style="1012" customWidth="1"/>
    <col min="1540" max="1541" width="8.6640625" style="1012" customWidth="1"/>
    <col min="1542" max="1542" width="18.33203125" style="1012" customWidth="1"/>
    <col min="1543" max="1543" width="18.5" style="1012" customWidth="1"/>
    <col min="1544" max="1544" width="6.33203125" style="1012" customWidth="1"/>
    <col min="1545" max="1545" width="19.83203125" style="1012" customWidth="1"/>
    <col min="1546" max="1779" width="8.83203125" style="1012"/>
    <col min="1780" max="1780" width="4.5" style="1012" customWidth="1"/>
    <col min="1781" max="1781" width="35" style="1012" customWidth="1"/>
    <col min="1782" max="1782" width="10" style="1012" customWidth="1"/>
    <col min="1783" max="1784" width="8.6640625" style="1012" customWidth="1"/>
    <col min="1785" max="1785" width="11.1640625" style="1012" customWidth="1"/>
    <col min="1786" max="1787" width="8.6640625" style="1012" customWidth="1"/>
    <col min="1788" max="1788" width="17.83203125" style="1012" customWidth="1"/>
    <col min="1789" max="1789" width="18.1640625" style="1012" customWidth="1"/>
    <col min="1790" max="1790" width="5.5" style="1012" customWidth="1"/>
    <col min="1791" max="1791" width="35" style="1012" customWidth="1"/>
    <col min="1792" max="1792" width="10" style="1012" customWidth="1"/>
    <col min="1793" max="1794" width="8.6640625" style="1012" customWidth="1"/>
    <col min="1795" max="1795" width="10.1640625" style="1012" customWidth="1"/>
    <col min="1796" max="1797" width="8.6640625" style="1012" customWidth="1"/>
    <col min="1798" max="1798" width="18.33203125" style="1012" customWidth="1"/>
    <col min="1799" max="1799" width="18.5" style="1012" customWidth="1"/>
    <col min="1800" max="1800" width="6.33203125" style="1012" customWidth="1"/>
    <col min="1801" max="1801" width="19.83203125" style="1012" customWidth="1"/>
    <col min="1802" max="2035" width="8.83203125" style="1012"/>
    <col min="2036" max="2036" width="4.5" style="1012" customWidth="1"/>
    <col min="2037" max="2037" width="35" style="1012" customWidth="1"/>
    <col min="2038" max="2038" width="10" style="1012" customWidth="1"/>
    <col min="2039" max="2040" width="8.6640625" style="1012" customWidth="1"/>
    <col min="2041" max="2041" width="11.1640625" style="1012" customWidth="1"/>
    <col min="2042" max="2043" width="8.6640625" style="1012" customWidth="1"/>
    <col min="2044" max="2044" width="17.83203125" style="1012" customWidth="1"/>
    <col min="2045" max="2045" width="18.1640625" style="1012" customWidth="1"/>
    <col min="2046" max="2046" width="5.5" style="1012" customWidth="1"/>
    <col min="2047" max="2047" width="35" style="1012" customWidth="1"/>
    <col min="2048" max="2048" width="10" style="1012" customWidth="1"/>
    <col min="2049" max="2050" width="8.6640625" style="1012" customWidth="1"/>
    <col min="2051" max="2051" width="10.1640625" style="1012" customWidth="1"/>
    <col min="2052" max="2053" width="8.6640625" style="1012" customWidth="1"/>
    <col min="2054" max="2054" width="18.33203125" style="1012" customWidth="1"/>
    <col min="2055" max="2055" width="18.5" style="1012" customWidth="1"/>
    <col min="2056" max="2056" width="6.33203125" style="1012" customWidth="1"/>
    <col min="2057" max="2057" width="19.83203125" style="1012" customWidth="1"/>
    <col min="2058" max="2291" width="8.83203125" style="1012"/>
    <col min="2292" max="2292" width="4.5" style="1012" customWidth="1"/>
    <col min="2293" max="2293" width="35" style="1012" customWidth="1"/>
    <col min="2294" max="2294" width="10" style="1012" customWidth="1"/>
    <col min="2295" max="2296" width="8.6640625" style="1012" customWidth="1"/>
    <col min="2297" max="2297" width="11.1640625" style="1012" customWidth="1"/>
    <col min="2298" max="2299" width="8.6640625" style="1012" customWidth="1"/>
    <col min="2300" max="2300" width="17.83203125" style="1012" customWidth="1"/>
    <col min="2301" max="2301" width="18.1640625" style="1012" customWidth="1"/>
    <col min="2302" max="2302" width="5.5" style="1012" customWidth="1"/>
    <col min="2303" max="2303" width="35" style="1012" customWidth="1"/>
    <col min="2304" max="2304" width="10" style="1012" customWidth="1"/>
    <col min="2305" max="2306" width="8.6640625" style="1012" customWidth="1"/>
    <col min="2307" max="2307" width="10.1640625" style="1012" customWidth="1"/>
    <col min="2308" max="2309" width="8.6640625" style="1012" customWidth="1"/>
    <col min="2310" max="2310" width="18.33203125" style="1012" customWidth="1"/>
    <col min="2311" max="2311" width="18.5" style="1012" customWidth="1"/>
    <col min="2312" max="2312" width="6.33203125" style="1012" customWidth="1"/>
    <col min="2313" max="2313" width="19.83203125" style="1012" customWidth="1"/>
    <col min="2314" max="2547" width="8.83203125" style="1012"/>
    <col min="2548" max="2548" width="4.5" style="1012" customWidth="1"/>
    <col min="2549" max="2549" width="35" style="1012" customWidth="1"/>
    <col min="2550" max="2550" width="10" style="1012" customWidth="1"/>
    <col min="2551" max="2552" width="8.6640625" style="1012" customWidth="1"/>
    <col min="2553" max="2553" width="11.1640625" style="1012" customWidth="1"/>
    <col min="2554" max="2555" width="8.6640625" style="1012" customWidth="1"/>
    <col min="2556" max="2556" width="17.83203125" style="1012" customWidth="1"/>
    <col min="2557" max="2557" width="18.1640625" style="1012" customWidth="1"/>
    <col min="2558" max="2558" width="5.5" style="1012" customWidth="1"/>
    <col min="2559" max="2559" width="35" style="1012" customWidth="1"/>
    <col min="2560" max="2560" width="10" style="1012" customWidth="1"/>
    <col min="2561" max="2562" width="8.6640625" style="1012" customWidth="1"/>
    <col min="2563" max="2563" width="10.1640625" style="1012" customWidth="1"/>
    <col min="2564" max="2565" width="8.6640625" style="1012" customWidth="1"/>
    <col min="2566" max="2566" width="18.33203125" style="1012" customWidth="1"/>
    <col min="2567" max="2567" width="18.5" style="1012" customWidth="1"/>
    <col min="2568" max="2568" width="6.33203125" style="1012" customWidth="1"/>
    <col min="2569" max="2569" width="19.83203125" style="1012" customWidth="1"/>
    <col min="2570" max="2803" width="8.83203125" style="1012"/>
    <col min="2804" max="2804" width="4.5" style="1012" customWidth="1"/>
    <col min="2805" max="2805" width="35" style="1012" customWidth="1"/>
    <col min="2806" max="2806" width="10" style="1012" customWidth="1"/>
    <col min="2807" max="2808" width="8.6640625" style="1012" customWidth="1"/>
    <col min="2809" max="2809" width="11.1640625" style="1012" customWidth="1"/>
    <col min="2810" max="2811" width="8.6640625" style="1012" customWidth="1"/>
    <col min="2812" max="2812" width="17.83203125" style="1012" customWidth="1"/>
    <col min="2813" max="2813" width="18.1640625" style="1012" customWidth="1"/>
    <col min="2814" max="2814" width="5.5" style="1012" customWidth="1"/>
    <col min="2815" max="2815" width="35" style="1012" customWidth="1"/>
    <col min="2816" max="2816" width="10" style="1012" customWidth="1"/>
    <col min="2817" max="2818" width="8.6640625" style="1012" customWidth="1"/>
    <col min="2819" max="2819" width="10.1640625" style="1012" customWidth="1"/>
    <col min="2820" max="2821" width="8.6640625" style="1012" customWidth="1"/>
    <col min="2822" max="2822" width="18.33203125" style="1012" customWidth="1"/>
    <col min="2823" max="2823" width="18.5" style="1012" customWidth="1"/>
    <col min="2824" max="2824" width="6.33203125" style="1012" customWidth="1"/>
    <col min="2825" max="2825" width="19.83203125" style="1012" customWidth="1"/>
    <col min="2826" max="3059" width="8.83203125" style="1012"/>
    <col min="3060" max="3060" width="4.5" style="1012" customWidth="1"/>
    <col min="3061" max="3061" width="35" style="1012" customWidth="1"/>
    <col min="3062" max="3062" width="10" style="1012" customWidth="1"/>
    <col min="3063" max="3064" width="8.6640625" style="1012" customWidth="1"/>
    <col min="3065" max="3065" width="11.1640625" style="1012" customWidth="1"/>
    <col min="3066" max="3067" width="8.6640625" style="1012" customWidth="1"/>
    <col min="3068" max="3068" width="17.83203125" style="1012" customWidth="1"/>
    <col min="3069" max="3069" width="18.1640625" style="1012" customWidth="1"/>
    <col min="3070" max="3070" width="5.5" style="1012" customWidth="1"/>
    <col min="3071" max="3071" width="35" style="1012" customWidth="1"/>
    <col min="3072" max="3072" width="10" style="1012" customWidth="1"/>
    <col min="3073" max="3074" width="8.6640625" style="1012" customWidth="1"/>
    <col min="3075" max="3075" width="10.1640625" style="1012" customWidth="1"/>
    <col min="3076" max="3077" width="8.6640625" style="1012" customWidth="1"/>
    <col min="3078" max="3078" width="18.33203125" style="1012" customWidth="1"/>
    <col min="3079" max="3079" width="18.5" style="1012" customWidth="1"/>
    <col min="3080" max="3080" width="6.33203125" style="1012" customWidth="1"/>
    <col min="3081" max="3081" width="19.83203125" style="1012" customWidth="1"/>
    <col min="3082" max="3315" width="8.83203125" style="1012"/>
    <col min="3316" max="3316" width="4.5" style="1012" customWidth="1"/>
    <col min="3317" max="3317" width="35" style="1012" customWidth="1"/>
    <col min="3318" max="3318" width="10" style="1012" customWidth="1"/>
    <col min="3319" max="3320" width="8.6640625" style="1012" customWidth="1"/>
    <col min="3321" max="3321" width="11.1640625" style="1012" customWidth="1"/>
    <col min="3322" max="3323" width="8.6640625" style="1012" customWidth="1"/>
    <col min="3324" max="3324" width="17.83203125" style="1012" customWidth="1"/>
    <col min="3325" max="3325" width="18.1640625" style="1012" customWidth="1"/>
    <col min="3326" max="3326" width="5.5" style="1012" customWidth="1"/>
    <col min="3327" max="3327" width="35" style="1012" customWidth="1"/>
    <col min="3328" max="3328" width="10" style="1012" customWidth="1"/>
    <col min="3329" max="3330" width="8.6640625" style="1012" customWidth="1"/>
    <col min="3331" max="3331" width="10.1640625" style="1012" customWidth="1"/>
    <col min="3332" max="3333" width="8.6640625" style="1012" customWidth="1"/>
    <col min="3334" max="3334" width="18.33203125" style="1012" customWidth="1"/>
    <col min="3335" max="3335" width="18.5" style="1012" customWidth="1"/>
    <col min="3336" max="3336" width="6.33203125" style="1012" customWidth="1"/>
    <col min="3337" max="3337" width="19.83203125" style="1012" customWidth="1"/>
    <col min="3338" max="3571" width="8.83203125" style="1012"/>
    <col min="3572" max="3572" width="4.5" style="1012" customWidth="1"/>
    <col min="3573" max="3573" width="35" style="1012" customWidth="1"/>
    <col min="3574" max="3574" width="10" style="1012" customWidth="1"/>
    <col min="3575" max="3576" width="8.6640625" style="1012" customWidth="1"/>
    <col min="3577" max="3577" width="11.1640625" style="1012" customWidth="1"/>
    <col min="3578" max="3579" width="8.6640625" style="1012" customWidth="1"/>
    <col min="3580" max="3580" width="17.83203125" style="1012" customWidth="1"/>
    <col min="3581" max="3581" width="18.1640625" style="1012" customWidth="1"/>
    <col min="3582" max="3582" width="5.5" style="1012" customWidth="1"/>
    <col min="3583" max="3583" width="35" style="1012" customWidth="1"/>
    <col min="3584" max="3584" width="10" style="1012" customWidth="1"/>
    <col min="3585" max="3586" width="8.6640625" style="1012" customWidth="1"/>
    <col min="3587" max="3587" width="10.1640625" style="1012" customWidth="1"/>
    <col min="3588" max="3589" width="8.6640625" style="1012" customWidth="1"/>
    <col min="3590" max="3590" width="18.33203125" style="1012" customWidth="1"/>
    <col min="3591" max="3591" width="18.5" style="1012" customWidth="1"/>
    <col min="3592" max="3592" width="6.33203125" style="1012" customWidth="1"/>
    <col min="3593" max="3593" width="19.83203125" style="1012" customWidth="1"/>
    <col min="3594" max="3827" width="8.83203125" style="1012"/>
    <col min="3828" max="3828" width="4.5" style="1012" customWidth="1"/>
    <col min="3829" max="3829" width="35" style="1012" customWidth="1"/>
    <col min="3830" max="3830" width="10" style="1012" customWidth="1"/>
    <col min="3831" max="3832" width="8.6640625" style="1012" customWidth="1"/>
    <col min="3833" max="3833" width="11.1640625" style="1012" customWidth="1"/>
    <col min="3834" max="3835" width="8.6640625" style="1012" customWidth="1"/>
    <col min="3836" max="3836" width="17.83203125" style="1012" customWidth="1"/>
    <col min="3837" max="3837" width="18.1640625" style="1012" customWidth="1"/>
    <col min="3838" max="3838" width="5.5" style="1012" customWidth="1"/>
    <col min="3839" max="3839" width="35" style="1012" customWidth="1"/>
    <col min="3840" max="3840" width="10" style="1012" customWidth="1"/>
    <col min="3841" max="3842" width="8.6640625" style="1012" customWidth="1"/>
    <col min="3843" max="3843" width="10.1640625" style="1012" customWidth="1"/>
    <col min="3844" max="3845" width="8.6640625" style="1012" customWidth="1"/>
    <col min="3846" max="3846" width="18.33203125" style="1012" customWidth="1"/>
    <col min="3847" max="3847" width="18.5" style="1012" customWidth="1"/>
    <col min="3848" max="3848" width="6.33203125" style="1012" customWidth="1"/>
    <col min="3849" max="3849" width="19.83203125" style="1012" customWidth="1"/>
    <col min="3850" max="4083" width="8.83203125" style="1012"/>
    <col min="4084" max="4084" width="4.5" style="1012" customWidth="1"/>
    <col min="4085" max="4085" width="35" style="1012" customWidth="1"/>
    <col min="4086" max="4086" width="10" style="1012" customWidth="1"/>
    <col min="4087" max="4088" width="8.6640625" style="1012" customWidth="1"/>
    <col min="4089" max="4089" width="11.1640625" style="1012" customWidth="1"/>
    <col min="4090" max="4091" width="8.6640625" style="1012" customWidth="1"/>
    <col min="4092" max="4092" width="17.83203125" style="1012" customWidth="1"/>
    <col min="4093" max="4093" width="18.1640625" style="1012" customWidth="1"/>
    <col min="4094" max="4094" width="5.5" style="1012" customWidth="1"/>
    <col min="4095" max="4095" width="35" style="1012" customWidth="1"/>
    <col min="4096" max="4096" width="10" style="1012" customWidth="1"/>
    <col min="4097" max="4098" width="8.6640625" style="1012" customWidth="1"/>
    <col min="4099" max="4099" width="10.1640625" style="1012" customWidth="1"/>
    <col min="4100" max="4101" width="8.6640625" style="1012" customWidth="1"/>
    <col min="4102" max="4102" width="18.33203125" style="1012" customWidth="1"/>
    <col min="4103" max="4103" width="18.5" style="1012" customWidth="1"/>
    <col min="4104" max="4104" width="6.33203125" style="1012" customWidth="1"/>
    <col min="4105" max="4105" width="19.83203125" style="1012" customWidth="1"/>
    <col min="4106" max="4339" width="8.83203125" style="1012"/>
    <col min="4340" max="4340" width="4.5" style="1012" customWidth="1"/>
    <col min="4341" max="4341" width="35" style="1012" customWidth="1"/>
    <col min="4342" max="4342" width="10" style="1012" customWidth="1"/>
    <col min="4343" max="4344" width="8.6640625" style="1012" customWidth="1"/>
    <col min="4345" max="4345" width="11.1640625" style="1012" customWidth="1"/>
    <col min="4346" max="4347" width="8.6640625" style="1012" customWidth="1"/>
    <col min="4348" max="4348" width="17.83203125" style="1012" customWidth="1"/>
    <col min="4349" max="4349" width="18.1640625" style="1012" customWidth="1"/>
    <col min="4350" max="4350" width="5.5" style="1012" customWidth="1"/>
    <col min="4351" max="4351" width="35" style="1012" customWidth="1"/>
    <col min="4352" max="4352" width="10" style="1012" customWidth="1"/>
    <col min="4353" max="4354" width="8.6640625" style="1012" customWidth="1"/>
    <col min="4355" max="4355" width="10.1640625" style="1012" customWidth="1"/>
    <col min="4356" max="4357" width="8.6640625" style="1012" customWidth="1"/>
    <col min="4358" max="4358" width="18.33203125" style="1012" customWidth="1"/>
    <col min="4359" max="4359" width="18.5" style="1012" customWidth="1"/>
    <col min="4360" max="4360" width="6.33203125" style="1012" customWidth="1"/>
    <col min="4361" max="4361" width="19.83203125" style="1012" customWidth="1"/>
    <col min="4362" max="4595" width="8.83203125" style="1012"/>
    <col min="4596" max="4596" width="4.5" style="1012" customWidth="1"/>
    <col min="4597" max="4597" width="35" style="1012" customWidth="1"/>
    <col min="4598" max="4598" width="10" style="1012" customWidth="1"/>
    <col min="4599" max="4600" width="8.6640625" style="1012" customWidth="1"/>
    <col min="4601" max="4601" width="11.1640625" style="1012" customWidth="1"/>
    <col min="4602" max="4603" width="8.6640625" style="1012" customWidth="1"/>
    <col min="4604" max="4604" width="17.83203125" style="1012" customWidth="1"/>
    <col min="4605" max="4605" width="18.1640625" style="1012" customWidth="1"/>
    <col min="4606" max="4606" width="5.5" style="1012" customWidth="1"/>
    <col min="4607" max="4607" width="35" style="1012" customWidth="1"/>
    <col min="4608" max="4608" width="10" style="1012" customWidth="1"/>
    <col min="4609" max="4610" width="8.6640625" style="1012" customWidth="1"/>
    <col min="4611" max="4611" width="10.1640625" style="1012" customWidth="1"/>
    <col min="4612" max="4613" width="8.6640625" style="1012" customWidth="1"/>
    <col min="4614" max="4614" width="18.33203125" style="1012" customWidth="1"/>
    <col min="4615" max="4615" width="18.5" style="1012" customWidth="1"/>
    <col min="4616" max="4616" width="6.33203125" style="1012" customWidth="1"/>
    <col min="4617" max="4617" width="19.83203125" style="1012" customWidth="1"/>
    <col min="4618" max="4851" width="8.83203125" style="1012"/>
    <col min="4852" max="4852" width="4.5" style="1012" customWidth="1"/>
    <col min="4853" max="4853" width="35" style="1012" customWidth="1"/>
    <col min="4854" max="4854" width="10" style="1012" customWidth="1"/>
    <col min="4855" max="4856" width="8.6640625" style="1012" customWidth="1"/>
    <col min="4857" max="4857" width="11.1640625" style="1012" customWidth="1"/>
    <col min="4858" max="4859" width="8.6640625" style="1012" customWidth="1"/>
    <col min="4860" max="4860" width="17.83203125" style="1012" customWidth="1"/>
    <col min="4861" max="4861" width="18.1640625" style="1012" customWidth="1"/>
    <col min="4862" max="4862" width="5.5" style="1012" customWidth="1"/>
    <col min="4863" max="4863" width="35" style="1012" customWidth="1"/>
    <col min="4864" max="4864" width="10" style="1012" customWidth="1"/>
    <col min="4865" max="4866" width="8.6640625" style="1012" customWidth="1"/>
    <col min="4867" max="4867" width="10.1640625" style="1012" customWidth="1"/>
    <col min="4868" max="4869" width="8.6640625" style="1012" customWidth="1"/>
    <col min="4870" max="4870" width="18.33203125" style="1012" customWidth="1"/>
    <col min="4871" max="4871" width="18.5" style="1012" customWidth="1"/>
    <col min="4872" max="4872" width="6.33203125" style="1012" customWidth="1"/>
    <col min="4873" max="4873" width="19.83203125" style="1012" customWidth="1"/>
    <col min="4874" max="5107" width="8.83203125" style="1012"/>
    <col min="5108" max="5108" width="4.5" style="1012" customWidth="1"/>
    <col min="5109" max="5109" width="35" style="1012" customWidth="1"/>
    <col min="5110" max="5110" width="10" style="1012" customWidth="1"/>
    <col min="5111" max="5112" width="8.6640625" style="1012" customWidth="1"/>
    <col min="5113" max="5113" width="11.1640625" style="1012" customWidth="1"/>
    <col min="5114" max="5115" width="8.6640625" style="1012" customWidth="1"/>
    <col min="5116" max="5116" width="17.83203125" style="1012" customWidth="1"/>
    <col min="5117" max="5117" width="18.1640625" style="1012" customWidth="1"/>
    <col min="5118" max="5118" width="5.5" style="1012" customWidth="1"/>
    <col min="5119" max="5119" width="35" style="1012" customWidth="1"/>
    <col min="5120" max="5120" width="10" style="1012" customWidth="1"/>
    <col min="5121" max="5122" width="8.6640625" style="1012" customWidth="1"/>
    <col min="5123" max="5123" width="10.1640625" style="1012" customWidth="1"/>
    <col min="5124" max="5125" width="8.6640625" style="1012" customWidth="1"/>
    <col min="5126" max="5126" width="18.33203125" style="1012" customWidth="1"/>
    <col min="5127" max="5127" width="18.5" style="1012" customWidth="1"/>
    <col min="5128" max="5128" width="6.33203125" style="1012" customWidth="1"/>
    <col min="5129" max="5129" width="19.83203125" style="1012" customWidth="1"/>
    <col min="5130" max="5363" width="8.83203125" style="1012"/>
    <col min="5364" max="5364" width="4.5" style="1012" customWidth="1"/>
    <col min="5365" max="5365" width="35" style="1012" customWidth="1"/>
    <col min="5366" max="5366" width="10" style="1012" customWidth="1"/>
    <col min="5367" max="5368" width="8.6640625" style="1012" customWidth="1"/>
    <col min="5369" max="5369" width="11.1640625" style="1012" customWidth="1"/>
    <col min="5370" max="5371" width="8.6640625" style="1012" customWidth="1"/>
    <col min="5372" max="5372" width="17.83203125" style="1012" customWidth="1"/>
    <col min="5373" max="5373" width="18.1640625" style="1012" customWidth="1"/>
    <col min="5374" max="5374" width="5.5" style="1012" customWidth="1"/>
    <col min="5375" max="5375" width="35" style="1012" customWidth="1"/>
    <col min="5376" max="5376" width="10" style="1012" customWidth="1"/>
    <col min="5377" max="5378" width="8.6640625" style="1012" customWidth="1"/>
    <col min="5379" max="5379" width="10.1640625" style="1012" customWidth="1"/>
    <col min="5380" max="5381" width="8.6640625" style="1012" customWidth="1"/>
    <col min="5382" max="5382" width="18.33203125" style="1012" customWidth="1"/>
    <col min="5383" max="5383" width="18.5" style="1012" customWidth="1"/>
    <col min="5384" max="5384" width="6.33203125" style="1012" customWidth="1"/>
    <col min="5385" max="5385" width="19.83203125" style="1012" customWidth="1"/>
    <col min="5386" max="5619" width="8.83203125" style="1012"/>
    <col min="5620" max="5620" width="4.5" style="1012" customWidth="1"/>
    <col min="5621" max="5621" width="35" style="1012" customWidth="1"/>
    <col min="5622" max="5622" width="10" style="1012" customWidth="1"/>
    <col min="5623" max="5624" width="8.6640625" style="1012" customWidth="1"/>
    <col min="5625" max="5625" width="11.1640625" style="1012" customWidth="1"/>
    <col min="5626" max="5627" width="8.6640625" style="1012" customWidth="1"/>
    <col min="5628" max="5628" width="17.83203125" style="1012" customWidth="1"/>
    <col min="5629" max="5629" width="18.1640625" style="1012" customWidth="1"/>
    <col min="5630" max="5630" width="5.5" style="1012" customWidth="1"/>
    <col min="5631" max="5631" width="35" style="1012" customWidth="1"/>
    <col min="5632" max="5632" width="10" style="1012" customWidth="1"/>
    <col min="5633" max="5634" width="8.6640625" style="1012" customWidth="1"/>
    <col min="5635" max="5635" width="10.1640625" style="1012" customWidth="1"/>
    <col min="5636" max="5637" width="8.6640625" style="1012" customWidth="1"/>
    <col min="5638" max="5638" width="18.33203125" style="1012" customWidth="1"/>
    <col min="5639" max="5639" width="18.5" style="1012" customWidth="1"/>
    <col min="5640" max="5640" width="6.33203125" style="1012" customWidth="1"/>
    <col min="5641" max="5641" width="19.83203125" style="1012" customWidth="1"/>
    <col min="5642" max="5875" width="8.83203125" style="1012"/>
    <col min="5876" max="5876" width="4.5" style="1012" customWidth="1"/>
    <col min="5877" max="5877" width="35" style="1012" customWidth="1"/>
    <col min="5878" max="5878" width="10" style="1012" customWidth="1"/>
    <col min="5879" max="5880" width="8.6640625" style="1012" customWidth="1"/>
    <col min="5881" max="5881" width="11.1640625" style="1012" customWidth="1"/>
    <col min="5882" max="5883" width="8.6640625" style="1012" customWidth="1"/>
    <col min="5884" max="5884" width="17.83203125" style="1012" customWidth="1"/>
    <col min="5885" max="5885" width="18.1640625" style="1012" customWidth="1"/>
    <col min="5886" max="5886" width="5.5" style="1012" customWidth="1"/>
    <col min="5887" max="5887" width="35" style="1012" customWidth="1"/>
    <col min="5888" max="5888" width="10" style="1012" customWidth="1"/>
    <col min="5889" max="5890" width="8.6640625" style="1012" customWidth="1"/>
    <col min="5891" max="5891" width="10.1640625" style="1012" customWidth="1"/>
    <col min="5892" max="5893" width="8.6640625" style="1012" customWidth="1"/>
    <col min="5894" max="5894" width="18.33203125" style="1012" customWidth="1"/>
    <col min="5895" max="5895" width="18.5" style="1012" customWidth="1"/>
    <col min="5896" max="5896" width="6.33203125" style="1012" customWidth="1"/>
    <col min="5897" max="5897" width="19.83203125" style="1012" customWidth="1"/>
    <col min="5898" max="6131" width="8.83203125" style="1012"/>
    <col min="6132" max="6132" width="4.5" style="1012" customWidth="1"/>
    <col min="6133" max="6133" width="35" style="1012" customWidth="1"/>
    <col min="6134" max="6134" width="10" style="1012" customWidth="1"/>
    <col min="6135" max="6136" width="8.6640625" style="1012" customWidth="1"/>
    <col min="6137" max="6137" width="11.1640625" style="1012" customWidth="1"/>
    <col min="6138" max="6139" width="8.6640625" style="1012" customWidth="1"/>
    <col min="6140" max="6140" width="17.83203125" style="1012" customWidth="1"/>
    <col min="6141" max="6141" width="18.1640625" style="1012" customWidth="1"/>
    <col min="6142" max="6142" width="5.5" style="1012" customWidth="1"/>
    <col min="6143" max="6143" width="35" style="1012" customWidth="1"/>
    <col min="6144" max="6144" width="10" style="1012" customWidth="1"/>
    <col min="6145" max="6146" width="8.6640625" style="1012" customWidth="1"/>
    <col min="6147" max="6147" width="10.1640625" style="1012" customWidth="1"/>
    <col min="6148" max="6149" width="8.6640625" style="1012" customWidth="1"/>
    <col min="6150" max="6150" width="18.33203125" style="1012" customWidth="1"/>
    <col min="6151" max="6151" width="18.5" style="1012" customWidth="1"/>
    <col min="6152" max="6152" width="6.33203125" style="1012" customWidth="1"/>
    <col min="6153" max="6153" width="19.83203125" style="1012" customWidth="1"/>
    <col min="6154" max="6387" width="8.83203125" style="1012"/>
    <col min="6388" max="6388" width="4.5" style="1012" customWidth="1"/>
    <col min="6389" max="6389" width="35" style="1012" customWidth="1"/>
    <col min="6390" max="6390" width="10" style="1012" customWidth="1"/>
    <col min="6391" max="6392" width="8.6640625" style="1012" customWidth="1"/>
    <col min="6393" max="6393" width="11.1640625" style="1012" customWidth="1"/>
    <col min="6394" max="6395" width="8.6640625" style="1012" customWidth="1"/>
    <col min="6396" max="6396" width="17.83203125" style="1012" customWidth="1"/>
    <col min="6397" max="6397" width="18.1640625" style="1012" customWidth="1"/>
    <col min="6398" max="6398" width="5.5" style="1012" customWidth="1"/>
    <col min="6399" max="6399" width="35" style="1012" customWidth="1"/>
    <col min="6400" max="6400" width="10" style="1012" customWidth="1"/>
    <col min="6401" max="6402" width="8.6640625" style="1012" customWidth="1"/>
    <col min="6403" max="6403" width="10.1640625" style="1012" customWidth="1"/>
    <col min="6404" max="6405" width="8.6640625" style="1012" customWidth="1"/>
    <col min="6406" max="6406" width="18.33203125" style="1012" customWidth="1"/>
    <col min="6407" max="6407" width="18.5" style="1012" customWidth="1"/>
    <col min="6408" max="6408" width="6.33203125" style="1012" customWidth="1"/>
    <col min="6409" max="6409" width="19.83203125" style="1012" customWidth="1"/>
    <col min="6410" max="6643" width="8.83203125" style="1012"/>
    <col min="6644" max="6644" width="4.5" style="1012" customWidth="1"/>
    <col min="6645" max="6645" width="35" style="1012" customWidth="1"/>
    <col min="6646" max="6646" width="10" style="1012" customWidth="1"/>
    <col min="6647" max="6648" width="8.6640625" style="1012" customWidth="1"/>
    <col min="6649" max="6649" width="11.1640625" style="1012" customWidth="1"/>
    <col min="6650" max="6651" width="8.6640625" style="1012" customWidth="1"/>
    <col min="6652" max="6652" width="17.83203125" style="1012" customWidth="1"/>
    <col min="6653" max="6653" width="18.1640625" style="1012" customWidth="1"/>
    <col min="6654" max="6654" width="5.5" style="1012" customWidth="1"/>
    <col min="6655" max="6655" width="35" style="1012" customWidth="1"/>
    <col min="6656" max="6656" width="10" style="1012" customWidth="1"/>
    <col min="6657" max="6658" width="8.6640625" style="1012" customWidth="1"/>
    <col min="6659" max="6659" width="10.1640625" style="1012" customWidth="1"/>
    <col min="6660" max="6661" width="8.6640625" style="1012" customWidth="1"/>
    <col min="6662" max="6662" width="18.33203125" style="1012" customWidth="1"/>
    <col min="6663" max="6663" width="18.5" style="1012" customWidth="1"/>
    <col min="6664" max="6664" width="6.33203125" style="1012" customWidth="1"/>
    <col min="6665" max="6665" width="19.83203125" style="1012" customWidth="1"/>
    <col min="6666" max="6899" width="8.83203125" style="1012"/>
    <col min="6900" max="6900" width="4.5" style="1012" customWidth="1"/>
    <col min="6901" max="6901" width="35" style="1012" customWidth="1"/>
    <col min="6902" max="6902" width="10" style="1012" customWidth="1"/>
    <col min="6903" max="6904" width="8.6640625" style="1012" customWidth="1"/>
    <col min="6905" max="6905" width="11.1640625" style="1012" customWidth="1"/>
    <col min="6906" max="6907" width="8.6640625" style="1012" customWidth="1"/>
    <col min="6908" max="6908" width="17.83203125" style="1012" customWidth="1"/>
    <col min="6909" max="6909" width="18.1640625" style="1012" customWidth="1"/>
    <col min="6910" max="6910" width="5.5" style="1012" customWidth="1"/>
    <col min="6911" max="6911" width="35" style="1012" customWidth="1"/>
    <col min="6912" max="6912" width="10" style="1012" customWidth="1"/>
    <col min="6913" max="6914" width="8.6640625" style="1012" customWidth="1"/>
    <col min="6915" max="6915" width="10.1640625" style="1012" customWidth="1"/>
    <col min="6916" max="6917" width="8.6640625" style="1012" customWidth="1"/>
    <col min="6918" max="6918" width="18.33203125" style="1012" customWidth="1"/>
    <col min="6919" max="6919" width="18.5" style="1012" customWidth="1"/>
    <col min="6920" max="6920" width="6.33203125" style="1012" customWidth="1"/>
    <col min="6921" max="6921" width="19.83203125" style="1012" customWidth="1"/>
    <col min="6922" max="7155" width="8.83203125" style="1012"/>
    <col min="7156" max="7156" width="4.5" style="1012" customWidth="1"/>
    <col min="7157" max="7157" width="35" style="1012" customWidth="1"/>
    <col min="7158" max="7158" width="10" style="1012" customWidth="1"/>
    <col min="7159" max="7160" width="8.6640625" style="1012" customWidth="1"/>
    <col min="7161" max="7161" width="11.1640625" style="1012" customWidth="1"/>
    <col min="7162" max="7163" width="8.6640625" style="1012" customWidth="1"/>
    <col min="7164" max="7164" width="17.83203125" style="1012" customWidth="1"/>
    <col min="7165" max="7165" width="18.1640625" style="1012" customWidth="1"/>
    <col min="7166" max="7166" width="5.5" style="1012" customWidth="1"/>
    <col min="7167" max="7167" width="35" style="1012" customWidth="1"/>
    <col min="7168" max="7168" width="10" style="1012" customWidth="1"/>
    <col min="7169" max="7170" width="8.6640625" style="1012" customWidth="1"/>
    <col min="7171" max="7171" width="10.1640625" style="1012" customWidth="1"/>
    <col min="7172" max="7173" width="8.6640625" style="1012" customWidth="1"/>
    <col min="7174" max="7174" width="18.33203125" style="1012" customWidth="1"/>
    <col min="7175" max="7175" width="18.5" style="1012" customWidth="1"/>
    <col min="7176" max="7176" width="6.33203125" style="1012" customWidth="1"/>
    <col min="7177" max="7177" width="19.83203125" style="1012" customWidth="1"/>
    <col min="7178" max="7411" width="8.83203125" style="1012"/>
    <col min="7412" max="7412" width="4.5" style="1012" customWidth="1"/>
    <col min="7413" max="7413" width="35" style="1012" customWidth="1"/>
    <col min="7414" max="7414" width="10" style="1012" customWidth="1"/>
    <col min="7415" max="7416" width="8.6640625" style="1012" customWidth="1"/>
    <col min="7417" max="7417" width="11.1640625" style="1012" customWidth="1"/>
    <col min="7418" max="7419" width="8.6640625" style="1012" customWidth="1"/>
    <col min="7420" max="7420" width="17.83203125" style="1012" customWidth="1"/>
    <col min="7421" max="7421" width="18.1640625" style="1012" customWidth="1"/>
    <col min="7422" max="7422" width="5.5" style="1012" customWidth="1"/>
    <col min="7423" max="7423" width="35" style="1012" customWidth="1"/>
    <col min="7424" max="7424" width="10" style="1012" customWidth="1"/>
    <col min="7425" max="7426" width="8.6640625" style="1012" customWidth="1"/>
    <col min="7427" max="7427" width="10.1640625" style="1012" customWidth="1"/>
    <col min="7428" max="7429" width="8.6640625" style="1012" customWidth="1"/>
    <col min="7430" max="7430" width="18.33203125" style="1012" customWidth="1"/>
    <col min="7431" max="7431" width="18.5" style="1012" customWidth="1"/>
    <col min="7432" max="7432" width="6.33203125" style="1012" customWidth="1"/>
    <col min="7433" max="7433" width="19.83203125" style="1012" customWidth="1"/>
    <col min="7434" max="7667" width="8.83203125" style="1012"/>
    <col min="7668" max="7668" width="4.5" style="1012" customWidth="1"/>
    <col min="7669" max="7669" width="35" style="1012" customWidth="1"/>
    <col min="7670" max="7670" width="10" style="1012" customWidth="1"/>
    <col min="7671" max="7672" width="8.6640625" style="1012" customWidth="1"/>
    <col min="7673" max="7673" width="11.1640625" style="1012" customWidth="1"/>
    <col min="7674" max="7675" width="8.6640625" style="1012" customWidth="1"/>
    <col min="7676" max="7676" width="17.83203125" style="1012" customWidth="1"/>
    <col min="7677" max="7677" width="18.1640625" style="1012" customWidth="1"/>
    <col min="7678" max="7678" width="5.5" style="1012" customWidth="1"/>
    <col min="7679" max="7679" width="35" style="1012" customWidth="1"/>
    <col min="7680" max="7680" width="10" style="1012" customWidth="1"/>
    <col min="7681" max="7682" width="8.6640625" style="1012" customWidth="1"/>
    <col min="7683" max="7683" width="10.1640625" style="1012" customWidth="1"/>
    <col min="7684" max="7685" width="8.6640625" style="1012" customWidth="1"/>
    <col min="7686" max="7686" width="18.33203125" style="1012" customWidth="1"/>
    <col min="7687" max="7687" width="18.5" style="1012" customWidth="1"/>
    <col min="7688" max="7688" width="6.33203125" style="1012" customWidth="1"/>
    <col min="7689" max="7689" width="19.83203125" style="1012" customWidth="1"/>
    <col min="7690" max="7923" width="8.83203125" style="1012"/>
    <col min="7924" max="7924" width="4.5" style="1012" customWidth="1"/>
    <col min="7925" max="7925" width="35" style="1012" customWidth="1"/>
    <col min="7926" max="7926" width="10" style="1012" customWidth="1"/>
    <col min="7927" max="7928" width="8.6640625" style="1012" customWidth="1"/>
    <col min="7929" max="7929" width="11.1640625" style="1012" customWidth="1"/>
    <col min="7930" max="7931" width="8.6640625" style="1012" customWidth="1"/>
    <col min="7932" max="7932" width="17.83203125" style="1012" customWidth="1"/>
    <col min="7933" max="7933" width="18.1640625" style="1012" customWidth="1"/>
    <col min="7934" max="7934" width="5.5" style="1012" customWidth="1"/>
    <col min="7935" max="7935" width="35" style="1012" customWidth="1"/>
    <col min="7936" max="7936" width="10" style="1012" customWidth="1"/>
    <col min="7937" max="7938" width="8.6640625" style="1012" customWidth="1"/>
    <col min="7939" max="7939" width="10.1640625" style="1012" customWidth="1"/>
    <col min="7940" max="7941" width="8.6640625" style="1012" customWidth="1"/>
    <col min="7942" max="7942" width="18.33203125" style="1012" customWidth="1"/>
    <col min="7943" max="7943" width="18.5" style="1012" customWidth="1"/>
    <col min="7944" max="7944" width="6.33203125" style="1012" customWidth="1"/>
    <col min="7945" max="7945" width="19.83203125" style="1012" customWidth="1"/>
    <col min="7946" max="8179" width="8.83203125" style="1012"/>
    <col min="8180" max="8180" width="4.5" style="1012" customWidth="1"/>
    <col min="8181" max="8181" width="35" style="1012" customWidth="1"/>
    <col min="8182" max="8182" width="10" style="1012" customWidth="1"/>
    <col min="8183" max="8184" width="8.6640625" style="1012" customWidth="1"/>
    <col min="8185" max="8185" width="11.1640625" style="1012" customWidth="1"/>
    <col min="8186" max="8187" width="8.6640625" style="1012" customWidth="1"/>
    <col min="8188" max="8188" width="17.83203125" style="1012" customWidth="1"/>
    <col min="8189" max="8189" width="18.1640625" style="1012" customWidth="1"/>
    <col min="8190" max="8190" width="5.5" style="1012" customWidth="1"/>
    <col min="8191" max="8191" width="35" style="1012" customWidth="1"/>
    <col min="8192" max="8192" width="10" style="1012" customWidth="1"/>
    <col min="8193" max="8194" width="8.6640625" style="1012" customWidth="1"/>
    <col min="8195" max="8195" width="10.1640625" style="1012" customWidth="1"/>
    <col min="8196" max="8197" width="8.6640625" style="1012" customWidth="1"/>
    <col min="8198" max="8198" width="18.33203125" style="1012" customWidth="1"/>
    <col min="8199" max="8199" width="18.5" style="1012" customWidth="1"/>
    <col min="8200" max="8200" width="6.33203125" style="1012" customWidth="1"/>
    <col min="8201" max="8201" width="19.83203125" style="1012" customWidth="1"/>
    <col min="8202" max="8435" width="8.83203125" style="1012"/>
    <col min="8436" max="8436" width="4.5" style="1012" customWidth="1"/>
    <col min="8437" max="8437" width="35" style="1012" customWidth="1"/>
    <col min="8438" max="8438" width="10" style="1012" customWidth="1"/>
    <col min="8439" max="8440" width="8.6640625" style="1012" customWidth="1"/>
    <col min="8441" max="8441" width="11.1640625" style="1012" customWidth="1"/>
    <col min="8442" max="8443" width="8.6640625" style="1012" customWidth="1"/>
    <col min="8444" max="8444" width="17.83203125" style="1012" customWidth="1"/>
    <col min="8445" max="8445" width="18.1640625" style="1012" customWidth="1"/>
    <col min="8446" max="8446" width="5.5" style="1012" customWidth="1"/>
    <col min="8447" max="8447" width="35" style="1012" customWidth="1"/>
    <col min="8448" max="8448" width="10" style="1012" customWidth="1"/>
    <col min="8449" max="8450" width="8.6640625" style="1012" customWidth="1"/>
    <col min="8451" max="8451" width="10.1640625" style="1012" customWidth="1"/>
    <col min="8452" max="8453" width="8.6640625" style="1012" customWidth="1"/>
    <col min="8454" max="8454" width="18.33203125" style="1012" customWidth="1"/>
    <col min="8455" max="8455" width="18.5" style="1012" customWidth="1"/>
    <col min="8456" max="8456" width="6.33203125" style="1012" customWidth="1"/>
    <col min="8457" max="8457" width="19.83203125" style="1012" customWidth="1"/>
    <col min="8458" max="8691" width="8.83203125" style="1012"/>
    <col min="8692" max="8692" width="4.5" style="1012" customWidth="1"/>
    <col min="8693" max="8693" width="35" style="1012" customWidth="1"/>
    <col min="8694" max="8694" width="10" style="1012" customWidth="1"/>
    <col min="8695" max="8696" width="8.6640625" style="1012" customWidth="1"/>
    <col min="8697" max="8697" width="11.1640625" style="1012" customWidth="1"/>
    <col min="8698" max="8699" width="8.6640625" style="1012" customWidth="1"/>
    <col min="8700" max="8700" width="17.83203125" style="1012" customWidth="1"/>
    <col min="8701" max="8701" width="18.1640625" style="1012" customWidth="1"/>
    <col min="8702" max="8702" width="5.5" style="1012" customWidth="1"/>
    <col min="8703" max="8703" width="35" style="1012" customWidth="1"/>
    <col min="8704" max="8704" width="10" style="1012" customWidth="1"/>
    <col min="8705" max="8706" width="8.6640625" style="1012" customWidth="1"/>
    <col min="8707" max="8707" width="10.1640625" style="1012" customWidth="1"/>
    <col min="8708" max="8709" width="8.6640625" style="1012" customWidth="1"/>
    <col min="8710" max="8710" width="18.33203125" style="1012" customWidth="1"/>
    <col min="8711" max="8711" width="18.5" style="1012" customWidth="1"/>
    <col min="8712" max="8712" width="6.33203125" style="1012" customWidth="1"/>
    <col min="8713" max="8713" width="19.83203125" style="1012" customWidth="1"/>
    <col min="8714" max="8947" width="8.83203125" style="1012"/>
    <col min="8948" max="8948" width="4.5" style="1012" customWidth="1"/>
    <col min="8949" max="8949" width="35" style="1012" customWidth="1"/>
    <col min="8950" max="8950" width="10" style="1012" customWidth="1"/>
    <col min="8951" max="8952" width="8.6640625" style="1012" customWidth="1"/>
    <col min="8953" max="8953" width="11.1640625" style="1012" customWidth="1"/>
    <col min="8954" max="8955" width="8.6640625" style="1012" customWidth="1"/>
    <col min="8956" max="8956" width="17.83203125" style="1012" customWidth="1"/>
    <col min="8957" max="8957" width="18.1640625" style="1012" customWidth="1"/>
    <col min="8958" max="8958" width="5.5" style="1012" customWidth="1"/>
    <col min="8959" max="8959" width="35" style="1012" customWidth="1"/>
    <col min="8960" max="8960" width="10" style="1012" customWidth="1"/>
    <col min="8961" max="8962" width="8.6640625" style="1012" customWidth="1"/>
    <col min="8963" max="8963" width="10.1640625" style="1012" customWidth="1"/>
    <col min="8964" max="8965" width="8.6640625" style="1012" customWidth="1"/>
    <col min="8966" max="8966" width="18.33203125" style="1012" customWidth="1"/>
    <col min="8967" max="8967" width="18.5" style="1012" customWidth="1"/>
    <col min="8968" max="8968" width="6.33203125" style="1012" customWidth="1"/>
    <col min="8969" max="8969" width="19.83203125" style="1012" customWidth="1"/>
    <col min="8970" max="9203" width="8.83203125" style="1012"/>
    <col min="9204" max="9204" width="4.5" style="1012" customWidth="1"/>
    <col min="9205" max="9205" width="35" style="1012" customWidth="1"/>
    <col min="9206" max="9206" width="10" style="1012" customWidth="1"/>
    <col min="9207" max="9208" width="8.6640625" style="1012" customWidth="1"/>
    <col min="9209" max="9209" width="11.1640625" style="1012" customWidth="1"/>
    <col min="9210" max="9211" width="8.6640625" style="1012" customWidth="1"/>
    <col min="9212" max="9212" width="17.83203125" style="1012" customWidth="1"/>
    <col min="9213" max="9213" width="18.1640625" style="1012" customWidth="1"/>
    <col min="9214" max="9214" width="5.5" style="1012" customWidth="1"/>
    <col min="9215" max="9215" width="35" style="1012" customWidth="1"/>
    <col min="9216" max="9216" width="10" style="1012" customWidth="1"/>
    <col min="9217" max="9218" width="8.6640625" style="1012" customWidth="1"/>
    <col min="9219" max="9219" width="10.1640625" style="1012" customWidth="1"/>
    <col min="9220" max="9221" width="8.6640625" style="1012" customWidth="1"/>
    <col min="9222" max="9222" width="18.33203125" style="1012" customWidth="1"/>
    <col min="9223" max="9223" width="18.5" style="1012" customWidth="1"/>
    <col min="9224" max="9224" width="6.33203125" style="1012" customWidth="1"/>
    <col min="9225" max="9225" width="19.83203125" style="1012" customWidth="1"/>
    <col min="9226" max="9459" width="8.83203125" style="1012"/>
    <col min="9460" max="9460" width="4.5" style="1012" customWidth="1"/>
    <col min="9461" max="9461" width="35" style="1012" customWidth="1"/>
    <col min="9462" max="9462" width="10" style="1012" customWidth="1"/>
    <col min="9463" max="9464" width="8.6640625" style="1012" customWidth="1"/>
    <col min="9465" max="9465" width="11.1640625" style="1012" customWidth="1"/>
    <col min="9466" max="9467" width="8.6640625" style="1012" customWidth="1"/>
    <col min="9468" max="9468" width="17.83203125" style="1012" customWidth="1"/>
    <col min="9469" max="9469" width="18.1640625" style="1012" customWidth="1"/>
    <col min="9470" max="9470" width="5.5" style="1012" customWidth="1"/>
    <col min="9471" max="9471" width="35" style="1012" customWidth="1"/>
    <col min="9472" max="9472" width="10" style="1012" customWidth="1"/>
    <col min="9473" max="9474" width="8.6640625" style="1012" customWidth="1"/>
    <col min="9475" max="9475" width="10.1640625" style="1012" customWidth="1"/>
    <col min="9476" max="9477" width="8.6640625" style="1012" customWidth="1"/>
    <col min="9478" max="9478" width="18.33203125" style="1012" customWidth="1"/>
    <col min="9479" max="9479" width="18.5" style="1012" customWidth="1"/>
    <col min="9480" max="9480" width="6.33203125" style="1012" customWidth="1"/>
    <col min="9481" max="9481" width="19.83203125" style="1012" customWidth="1"/>
    <col min="9482" max="9715" width="8.83203125" style="1012"/>
    <col min="9716" max="9716" width="4.5" style="1012" customWidth="1"/>
    <col min="9717" max="9717" width="35" style="1012" customWidth="1"/>
    <col min="9718" max="9718" width="10" style="1012" customWidth="1"/>
    <col min="9719" max="9720" width="8.6640625" style="1012" customWidth="1"/>
    <col min="9721" max="9721" width="11.1640625" style="1012" customWidth="1"/>
    <col min="9722" max="9723" width="8.6640625" style="1012" customWidth="1"/>
    <col min="9724" max="9724" width="17.83203125" style="1012" customWidth="1"/>
    <col min="9725" max="9725" width="18.1640625" style="1012" customWidth="1"/>
    <col min="9726" max="9726" width="5.5" style="1012" customWidth="1"/>
    <col min="9727" max="9727" width="35" style="1012" customWidth="1"/>
    <col min="9728" max="9728" width="10" style="1012" customWidth="1"/>
    <col min="9729" max="9730" width="8.6640625" style="1012" customWidth="1"/>
    <col min="9731" max="9731" width="10.1640625" style="1012" customWidth="1"/>
    <col min="9732" max="9733" width="8.6640625" style="1012" customWidth="1"/>
    <col min="9734" max="9734" width="18.33203125" style="1012" customWidth="1"/>
    <col min="9735" max="9735" width="18.5" style="1012" customWidth="1"/>
    <col min="9736" max="9736" width="6.33203125" style="1012" customWidth="1"/>
    <col min="9737" max="9737" width="19.83203125" style="1012" customWidth="1"/>
    <col min="9738" max="9971" width="8.83203125" style="1012"/>
    <col min="9972" max="9972" width="4.5" style="1012" customWidth="1"/>
    <col min="9973" max="9973" width="35" style="1012" customWidth="1"/>
    <col min="9974" max="9974" width="10" style="1012" customWidth="1"/>
    <col min="9975" max="9976" width="8.6640625" style="1012" customWidth="1"/>
    <col min="9977" max="9977" width="11.1640625" style="1012" customWidth="1"/>
    <col min="9978" max="9979" width="8.6640625" style="1012" customWidth="1"/>
    <col min="9980" max="9980" width="17.83203125" style="1012" customWidth="1"/>
    <col min="9981" max="9981" width="18.1640625" style="1012" customWidth="1"/>
    <col min="9982" max="9982" width="5.5" style="1012" customWidth="1"/>
    <col min="9983" max="9983" width="35" style="1012" customWidth="1"/>
    <col min="9984" max="9984" width="10" style="1012" customWidth="1"/>
    <col min="9985" max="9986" width="8.6640625" style="1012" customWidth="1"/>
    <col min="9987" max="9987" width="10.1640625" style="1012" customWidth="1"/>
    <col min="9988" max="9989" width="8.6640625" style="1012" customWidth="1"/>
    <col min="9990" max="9990" width="18.33203125" style="1012" customWidth="1"/>
    <col min="9991" max="9991" width="18.5" style="1012" customWidth="1"/>
    <col min="9992" max="9992" width="6.33203125" style="1012" customWidth="1"/>
    <col min="9993" max="9993" width="19.83203125" style="1012" customWidth="1"/>
    <col min="9994" max="10227" width="8.83203125" style="1012"/>
    <col min="10228" max="10228" width="4.5" style="1012" customWidth="1"/>
    <col min="10229" max="10229" width="35" style="1012" customWidth="1"/>
    <col min="10230" max="10230" width="10" style="1012" customWidth="1"/>
    <col min="10231" max="10232" width="8.6640625" style="1012" customWidth="1"/>
    <col min="10233" max="10233" width="11.1640625" style="1012" customWidth="1"/>
    <col min="10234" max="10235" width="8.6640625" style="1012" customWidth="1"/>
    <col min="10236" max="10236" width="17.83203125" style="1012" customWidth="1"/>
    <col min="10237" max="10237" width="18.1640625" style="1012" customWidth="1"/>
    <col min="10238" max="10238" width="5.5" style="1012" customWidth="1"/>
    <col min="10239" max="10239" width="35" style="1012" customWidth="1"/>
    <col min="10240" max="10240" width="10" style="1012" customWidth="1"/>
    <col min="10241" max="10242" width="8.6640625" style="1012" customWidth="1"/>
    <col min="10243" max="10243" width="10.1640625" style="1012" customWidth="1"/>
    <col min="10244" max="10245" width="8.6640625" style="1012" customWidth="1"/>
    <col min="10246" max="10246" width="18.33203125" style="1012" customWidth="1"/>
    <col min="10247" max="10247" width="18.5" style="1012" customWidth="1"/>
    <col min="10248" max="10248" width="6.33203125" style="1012" customWidth="1"/>
    <col min="10249" max="10249" width="19.83203125" style="1012" customWidth="1"/>
    <col min="10250" max="10483" width="8.83203125" style="1012"/>
    <col min="10484" max="10484" width="4.5" style="1012" customWidth="1"/>
    <col min="10485" max="10485" width="35" style="1012" customWidth="1"/>
    <col min="10486" max="10486" width="10" style="1012" customWidth="1"/>
    <col min="10487" max="10488" width="8.6640625" style="1012" customWidth="1"/>
    <col min="10489" max="10489" width="11.1640625" style="1012" customWidth="1"/>
    <col min="10490" max="10491" width="8.6640625" style="1012" customWidth="1"/>
    <col min="10492" max="10492" width="17.83203125" style="1012" customWidth="1"/>
    <col min="10493" max="10493" width="18.1640625" style="1012" customWidth="1"/>
    <col min="10494" max="10494" width="5.5" style="1012" customWidth="1"/>
    <col min="10495" max="10495" width="35" style="1012" customWidth="1"/>
    <col min="10496" max="10496" width="10" style="1012" customWidth="1"/>
    <col min="10497" max="10498" width="8.6640625" style="1012" customWidth="1"/>
    <col min="10499" max="10499" width="10.1640625" style="1012" customWidth="1"/>
    <col min="10500" max="10501" width="8.6640625" style="1012" customWidth="1"/>
    <col min="10502" max="10502" width="18.33203125" style="1012" customWidth="1"/>
    <col min="10503" max="10503" width="18.5" style="1012" customWidth="1"/>
    <col min="10504" max="10504" width="6.33203125" style="1012" customWidth="1"/>
    <col min="10505" max="10505" width="19.83203125" style="1012" customWidth="1"/>
    <col min="10506" max="10739" width="8.83203125" style="1012"/>
    <col min="10740" max="10740" width="4.5" style="1012" customWidth="1"/>
    <col min="10741" max="10741" width="35" style="1012" customWidth="1"/>
    <col min="10742" max="10742" width="10" style="1012" customWidth="1"/>
    <col min="10743" max="10744" width="8.6640625" style="1012" customWidth="1"/>
    <col min="10745" max="10745" width="11.1640625" style="1012" customWidth="1"/>
    <col min="10746" max="10747" width="8.6640625" style="1012" customWidth="1"/>
    <col min="10748" max="10748" width="17.83203125" style="1012" customWidth="1"/>
    <col min="10749" max="10749" width="18.1640625" style="1012" customWidth="1"/>
    <col min="10750" max="10750" width="5.5" style="1012" customWidth="1"/>
    <col min="10751" max="10751" width="35" style="1012" customWidth="1"/>
    <col min="10752" max="10752" width="10" style="1012" customWidth="1"/>
    <col min="10753" max="10754" width="8.6640625" style="1012" customWidth="1"/>
    <col min="10755" max="10755" width="10.1640625" style="1012" customWidth="1"/>
    <col min="10756" max="10757" width="8.6640625" style="1012" customWidth="1"/>
    <col min="10758" max="10758" width="18.33203125" style="1012" customWidth="1"/>
    <col min="10759" max="10759" width="18.5" style="1012" customWidth="1"/>
    <col min="10760" max="10760" width="6.33203125" style="1012" customWidth="1"/>
    <col min="10761" max="10761" width="19.83203125" style="1012" customWidth="1"/>
    <col min="10762" max="10995" width="8.83203125" style="1012"/>
    <col min="10996" max="10996" width="4.5" style="1012" customWidth="1"/>
    <col min="10997" max="10997" width="35" style="1012" customWidth="1"/>
    <col min="10998" max="10998" width="10" style="1012" customWidth="1"/>
    <col min="10999" max="11000" width="8.6640625" style="1012" customWidth="1"/>
    <col min="11001" max="11001" width="11.1640625" style="1012" customWidth="1"/>
    <col min="11002" max="11003" width="8.6640625" style="1012" customWidth="1"/>
    <col min="11004" max="11004" width="17.83203125" style="1012" customWidth="1"/>
    <col min="11005" max="11005" width="18.1640625" style="1012" customWidth="1"/>
    <col min="11006" max="11006" width="5.5" style="1012" customWidth="1"/>
    <col min="11007" max="11007" width="35" style="1012" customWidth="1"/>
    <col min="11008" max="11008" width="10" style="1012" customWidth="1"/>
    <col min="11009" max="11010" width="8.6640625" style="1012" customWidth="1"/>
    <col min="11011" max="11011" width="10.1640625" style="1012" customWidth="1"/>
    <col min="11012" max="11013" width="8.6640625" style="1012" customWidth="1"/>
    <col min="11014" max="11014" width="18.33203125" style="1012" customWidth="1"/>
    <col min="11015" max="11015" width="18.5" style="1012" customWidth="1"/>
    <col min="11016" max="11016" width="6.33203125" style="1012" customWidth="1"/>
    <col min="11017" max="11017" width="19.83203125" style="1012" customWidth="1"/>
    <col min="11018" max="11251" width="8.83203125" style="1012"/>
    <col min="11252" max="11252" width="4.5" style="1012" customWidth="1"/>
    <col min="11253" max="11253" width="35" style="1012" customWidth="1"/>
    <col min="11254" max="11254" width="10" style="1012" customWidth="1"/>
    <col min="11255" max="11256" width="8.6640625" style="1012" customWidth="1"/>
    <col min="11257" max="11257" width="11.1640625" style="1012" customWidth="1"/>
    <col min="11258" max="11259" width="8.6640625" style="1012" customWidth="1"/>
    <col min="11260" max="11260" width="17.83203125" style="1012" customWidth="1"/>
    <col min="11261" max="11261" width="18.1640625" style="1012" customWidth="1"/>
    <col min="11262" max="11262" width="5.5" style="1012" customWidth="1"/>
    <col min="11263" max="11263" width="35" style="1012" customWidth="1"/>
    <col min="11264" max="11264" width="10" style="1012" customWidth="1"/>
    <col min="11265" max="11266" width="8.6640625" style="1012" customWidth="1"/>
    <col min="11267" max="11267" width="10.1640625" style="1012" customWidth="1"/>
    <col min="11268" max="11269" width="8.6640625" style="1012" customWidth="1"/>
    <col min="11270" max="11270" width="18.33203125" style="1012" customWidth="1"/>
    <col min="11271" max="11271" width="18.5" style="1012" customWidth="1"/>
    <col min="11272" max="11272" width="6.33203125" style="1012" customWidth="1"/>
    <col min="11273" max="11273" width="19.83203125" style="1012" customWidth="1"/>
    <col min="11274" max="11507" width="8.83203125" style="1012"/>
    <col min="11508" max="11508" width="4.5" style="1012" customWidth="1"/>
    <col min="11509" max="11509" width="35" style="1012" customWidth="1"/>
    <col min="11510" max="11510" width="10" style="1012" customWidth="1"/>
    <col min="11511" max="11512" width="8.6640625" style="1012" customWidth="1"/>
    <col min="11513" max="11513" width="11.1640625" style="1012" customWidth="1"/>
    <col min="11514" max="11515" width="8.6640625" style="1012" customWidth="1"/>
    <col min="11516" max="11516" width="17.83203125" style="1012" customWidth="1"/>
    <col min="11517" max="11517" width="18.1640625" style="1012" customWidth="1"/>
    <col min="11518" max="11518" width="5.5" style="1012" customWidth="1"/>
    <col min="11519" max="11519" width="35" style="1012" customWidth="1"/>
    <col min="11520" max="11520" width="10" style="1012" customWidth="1"/>
    <col min="11521" max="11522" width="8.6640625" style="1012" customWidth="1"/>
    <col min="11523" max="11523" width="10.1640625" style="1012" customWidth="1"/>
    <col min="11524" max="11525" width="8.6640625" style="1012" customWidth="1"/>
    <col min="11526" max="11526" width="18.33203125" style="1012" customWidth="1"/>
    <col min="11527" max="11527" width="18.5" style="1012" customWidth="1"/>
    <col min="11528" max="11528" width="6.33203125" style="1012" customWidth="1"/>
    <col min="11529" max="11529" width="19.83203125" style="1012" customWidth="1"/>
    <col min="11530" max="11763" width="8.83203125" style="1012"/>
    <col min="11764" max="11764" width="4.5" style="1012" customWidth="1"/>
    <col min="11765" max="11765" width="35" style="1012" customWidth="1"/>
    <col min="11766" max="11766" width="10" style="1012" customWidth="1"/>
    <col min="11767" max="11768" width="8.6640625" style="1012" customWidth="1"/>
    <col min="11769" max="11769" width="11.1640625" style="1012" customWidth="1"/>
    <col min="11770" max="11771" width="8.6640625" style="1012" customWidth="1"/>
    <col min="11772" max="11772" width="17.83203125" style="1012" customWidth="1"/>
    <col min="11773" max="11773" width="18.1640625" style="1012" customWidth="1"/>
    <col min="11774" max="11774" width="5.5" style="1012" customWidth="1"/>
    <col min="11775" max="11775" width="35" style="1012" customWidth="1"/>
    <col min="11776" max="11776" width="10" style="1012" customWidth="1"/>
    <col min="11777" max="11778" width="8.6640625" style="1012" customWidth="1"/>
    <col min="11779" max="11779" width="10.1640625" style="1012" customWidth="1"/>
    <col min="11780" max="11781" width="8.6640625" style="1012" customWidth="1"/>
    <col min="11782" max="11782" width="18.33203125" style="1012" customWidth="1"/>
    <col min="11783" max="11783" width="18.5" style="1012" customWidth="1"/>
    <col min="11784" max="11784" width="6.33203125" style="1012" customWidth="1"/>
    <col min="11785" max="11785" width="19.83203125" style="1012" customWidth="1"/>
    <col min="11786" max="12019" width="8.83203125" style="1012"/>
    <col min="12020" max="12020" width="4.5" style="1012" customWidth="1"/>
    <col min="12021" max="12021" width="35" style="1012" customWidth="1"/>
    <col min="12022" max="12022" width="10" style="1012" customWidth="1"/>
    <col min="12023" max="12024" width="8.6640625" style="1012" customWidth="1"/>
    <col min="12025" max="12025" width="11.1640625" style="1012" customWidth="1"/>
    <col min="12026" max="12027" width="8.6640625" style="1012" customWidth="1"/>
    <col min="12028" max="12028" width="17.83203125" style="1012" customWidth="1"/>
    <col min="12029" max="12029" width="18.1640625" style="1012" customWidth="1"/>
    <col min="12030" max="12030" width="5.5" style="1012" customWidth="1"/>
    <col min="12031" max="12031" width="35" style="1012" customWidth="1"/>
    <col min="12032" max="12032" width="10" style="1012" customWidth="1"/>
    <col min="12033" max="12034" width="8.6640625" style="1012" customWidth="1"/>
    <col min="12035" max="12035" width="10.1640625" style="1012" customWidth="1"/>
    <col min="12036" max="12037" width="8.6640625" style="1012" customWidth="1"/>
    <col min="12038" max="12038" width="18.33203125" style="1012" customWidth="1"/>
    <col min="12039" max="12039" width="18.5" style="1012" customWidth="1"/>
    <col min="12040" max="12040" width="6.33203125" style="1012" customWidth="1"/>
    <col min="12041" max="12041" width="19.83203125" style="1012" customWidth="1"/>
    <col min="12042" max="12275" width="8.83203125" style="1012"/>
    <col min="12276" max="12276" width="4.5" style="1012" customWidth="1"/>
    <col min="12277" max="12277" width="35" style="1012" customWidth="1"/>
    <col min="12278" max="12278" width="10" style="1012" customWidth="1"/>
    <col min="12279" max="12280" width="8.6640625" style="1012" customWidth="1"/>
    <col min="12281" max="12281" width="11.1640625" style="1012" customWidth="1"/>
    <col min="12282" max="12283" width="8.6640625" style="1012" customWidth="1"/>
    <col min="12284" max="12284" width="17.83203125" style="1012" customWidth="1"/>
    <col min="12285" max="12285" width="18.1640625" style="1012" customWidth="1"/>
    <col min="12286" max="12286" width="5.5" style="1012" customWidth="1"/>
    <col min="12287" max="12287" width="35" style="1012" customWidth="1"/>
    <col min="12288" max="12288" width="10" style="1012" customWidth="1"/>
    <col min="12289" max="12290" width="8.6640625" style="1012" customWidth="1"/>
    <col min="12291" max="12291" width="10.1640625" style="1012" customWidth="1"/>
    <col min="12292" max="12293" width="8.6640625" style="1012" customWidth="1"/>
    <col min="12294" max="12294" width="18.33203125" style="1012" customWidth="1"/>
    <col min="12295" max="12295" width="18.5" style="1012" customWidth="1"/>
    <col min="12296" max="12296" width="6.33203125" style="1012" customWidth="1"/>
    <col min="12297" max="12297" width="19.83203125" style="1012" customWidth="1"/>
    <col min="12298" max="12531" width="8.83203125" style="1012"/>
    <col min="12532" max="12532" width="4.5" style="1012" customWidth="1"/>
    <col min="12533" max="12533" width="35" style="1012" customWidth="1"/>
    <col min="12534" max="12534" width="10" style="1012" customWidth="1"/>
    <col min="12535" max="12536" width="8.6640625" style="1012" customWidth="1"/>
    <col min="12537" max="12537" width="11.1640625" style="1012" customWidth="1"/>
    <col min="12538" max="12539" width="8.6640625" style="1012" customWidth="1"/>
    <col min="12540" max="12540" width="17.83203125" style="1012" customWidth="1"/>
    <col min="12541" max="12541" width="18.1640625" style="1012" customWidth="1"/>
    <col min="12542" max="12542" width="5.5" style="1012" customWidth="1"/>
    <col min="12543" max="12543" width="35" style="1012" customWidth="1"/>
    <col min="12544" max="12544" width="10" style="1012" customWidth="1"/>
    <col min="12545" max="12546" width="8.6640625" style="1012" customWidth="1"/>
    <col min="12547" max="12547" width="10.1640625" style="1012" customWidth="1"/>
    <col min="12548" max="12549" width="8.6640625" style="1012" customWidth="1"/>
    <col min="12550" max="12550" width="18.33203125" style="1012" customWidth="1"/>
    <col min="12551" max="12551" width="18.5" style="1012" customWidth="1"/>
    <col min="12552" max="12552" width="6.33203125" style="1012" customWidth="1"/>
    <col min="12553" max="12553" width="19.83203125" style="1012" customWidth="1"/>
    <col min="12554" max="12787" width="8.83203125" style="1012"/>
    <col min="12788" max="12788" width="4.5" style="1012" customWidth="1"/>
    <col min="12789" max="12789" width="35" style="1012" customWidth="1"/>
    <col min="12790" max="12790" width="10" style="1012" customWidth="1"/>
    <col min="12791" max="12792" width="8.6640625" style="1012" customWidth="1"/>
    <col min="12793" max="12793" width="11.1640625" style="1012" customWidth="1"/>
    <col min="12794" max="12795" width="8.6640625" style="1012" customWidth="1"/>
    <col min="12796" max="12796" width="17.83203125" style="1012" customWidth="1"/>
    <col min="12797" max="12797" width="18.1640625" style="1012" customWidth="1"/>
    <col min="12798" max="12798" width="5.5" style="1012" customWidth="1"/>
    <col min="12799" max="12799" width="35" style="1012" customWidth="1"/>
    <col min="12800" max="12800" width="10" style="1012" customWidth="1"/>
    <col min="12801" max="12802" width="8.6640625" style="1012" customWidth="1"/>
    <col min="12803" max="12803" width="10.1640625" style="1012" customWidth="1"/>
    <col min="12804" max="12805" width="8.6640625" style="1012" customWidth="1"/>
    <col min="12806" max="12806" width="18.33203125" style="1012" customWidth="1"/>
    <col min="12807" max="12807" width="18.5" style="1012" customWidth="1"/>
    <col min="12808" max="12808" width="6.33203125" style="1012" customWidth="1"/>
    <col min="12809" max="12809" width="19.83203125" style="1012" customWidth="1"/>
    <col min="12810" max="13043" width="8.83203125" style="1012"/>
    <col min="13044" max="13044" width="4.5" style="1012" customWidth="1"/>
    <col min="13045" max="13045" width="35" style="1012" customWidth="1"/>
    <col min="13046" max="13046" width="10" style="1012" customWidth="1"/>
    <col min="13047" max="13048" width="8.6640625" style="1012" customWidth="1"/>
    <col min="13049" max="13049" width="11.1640625" style="1012" customWidth="1"/>
    <col min="13050" max="13051" width="8.6640625" style="1012" customWidth="1"/>
    <col min="13052" max="13052" width="17.83203125" style="1012" customWidth="1"/>
    <col min="13053" max="13053" width="18.1640625" style="1012" customWidth="1"/>
    <col min="13054" max="13054" width="5.5" style="1012" customWidth="1"/>
    <col min="13055" max="13055" width="35" style="1012" customWidth="1"/>
    <col min="13056" max="13056" width="10" style="1012" customWidth="1"/>
    <col min="13057" max="13058" width="8.6640625" style="1012" customWidth="1"/>
    <col min="13059" max="13059" width="10.1640625" style="1012" customWidth="1"/>
    <col min="13060" max="13061" width="8.6640625" style="1012" customWidth="1"/>
    <col min="13062" max="13062" width="18.33203125" style="1012" customWidth="1"/>
    <col min="13063" max="13063" width="18.5" style="1012" customWidth="1"/>
    <col min="13064" max="13064" width="6.33203125" style="1012" customWidth="1"/>
    <col min="13065" max="13065" width="19.83203125" style="1012" customWidth="1"/>
    <col min="13066" max="13299" width="8.83203125" style="1012"/>
    <col min="13300" max="13300" width="4.5" style="1012" customWidth="1"/>
    <col min="13301" max="13301" width="35" style="1012" customWidth="1"/>
    <col min="13302" max="13302" width="10" style="1012" customWidth="1"/>
    <col min="13303" max="13304" width="8.6640625" style="1012" customWidth="1"/>
    <col min="13305" max="13305" width="11.1640625" style="1012" customWidth="1"/>
    <col min="13306" max="13307" width="8.6640625" style="1012" customWidth="1"/>
    <col min="13308" max="13308" width="17.83203125" style="1012" customWidth="1"/>
    <col min="13309" max="13309" width="18.1640625" style="1012" customWidth="1"/>
    <col min="13310" max="13310" width="5.5" style="1012" customWidth="1"/>
    <col min="13311" max="13311" width="35" style="1012" customWidth="1"/>
    <col min="13312" max="13312" width="10" style="1012" customWidth="1"/>
    <col min="13313" max="13314" width="8.6640625" style="1012" customWidth="1"/>
    <col min="13315" max="13315" width="10.1640625" style="1012" customWidth="1"/>
    <col min="13316" max="13317" width="8.6640625" style="1012" customWidth="1"/>
    <col min="13318" max="13318" width="18.33203125" style="1012" customWidth="1"/>
    <col min="13319" max="13319" width="18.5" style="1012" customWidth="1"/>
    <col min="13320" max="13320" width="6.33203125" style="1012" customWidth="1"/>
    <col min="13321" max="13321" width="19.83203125" style="1012" customWidth="1"/>
    <col min="13322" max="13555" width="8.83203125" style="1012"/>
    <col min="13556" max="13556" width="4.5" style="1012" customWidth="1"/>
    <col min="13557" max="13557" width="35" style="1012" customWidth="1"/>
    <col min="13558" max="13558" width="10" style="1012" customWidth="1"/>
    <col min="13559" max="13560" width="8.6640625" style="1012" customWidth="1"/>
    <col min="13561" max="13561" width="11.1640625" style="1012" customWidth="1"/>
    <col min="13562" max="13563" width="8.6640625" style="1012" customWidth="1"/>
    <col min="13564" max="13564" width="17.83203125" style="1012" customWidth="1"/>
    <col min="13565" max="13565" width="18.1640625" style="1012" customWidth="1"/>
    <col min="13566" max="13566" width="5.5" style="1012" customWidth="1"/>
    <col min="13567" max="13567" width="35" style="1012" customWidth="1"/>
    <col min="13568" max="13568" width="10" style="1012" customWidth="1"/>
    <col min="13569" max="13570" width="8.6640625" style="1012" customWidth="1"/>
    <col min="13571" max="13571" width="10.1640625" style="1012" customWidth="1"/>
    <col min="13572" max="13573" width="8.6640625" style="1012" customWidth="1"/>
    <col min="13574" max="13574" width="18.33203125" style="1012" customWidth="1"/>
    <col min="13575" max="13575" width="18.5" style="1012" customWidth="1"/>
    <col min="13576" max="13576" width="6.33203125" style="1012" customWidth="1"/>
    <col min="13577" max="13577" width="19.83203125" style="1012" customWidth="1"/>
    <col min="13578" max="13811" width="8.83203125" style="1012"/>
    <col min="13812" max="13812" width="4.5" style="1012" customWidth="1"/>
    <col min="13813" max="13813" width="35" style="1012" customWidth="1"/>
    <col min="13814" max="13814" width="10" style="1012" customWidth="1"/>
    <col min="13815" max="13816" width="8.6640625" style="1012" customWidth="1"/>
    <col min="13817" max="13817" width="11.1640625" style="1012" customWidth="1"/>
    <col min="13818" max="13819" width="8.6640625" style="1012" customWidth="1"/>
    <col min="13820" max="13820" width="17.83203125" style="1012" customWidth="1"/>
    <col min="13821" max="13821" width="18.1640625" style="1012" customWidth="1"/>
    <col min="13822" max="13822" width="5.5" style="1012" customWidth="1"/>
    <col min="13823" max="13823" width="35" style="1012" customWidth="1"/>
    <col min="13824" max="13824" width="10" style="1012" customWidth="1"/>
    <col min="13825" max="13826" width="8.6640625" style="1012" customWidth="1"/>
    <col min="13827" max="13827" width="10.1640625" style="1012" customWidth="1"/>
    <col min="13828" max="13829" width="8.6640625" style="1012" customWidth="1"/>
    <col min="13830" max="13830" width="18.33203125" style="1012" customWidth="1"/>
    <col min="13831" max="13831" width="18.5" style="1012" customWidth="1"/>
    <col min="13832" max="13832" width="6.33203125" style="1012" customWidth="1"/>
    <col min="13833" max="13833" width="19.83203125" style="1012" customWidth="1"/>
    <col min="13834" max="14067" width="8.83203125" style="1012"/>
    <col min="14068" max="14068" width="4.5" style="1012" customWidth="1"/>
    <col min="14069" max="14069" width="35" style="1012" customWidth="1"/>
    <col min="14070" max="14070" width="10" style="1012" customWidth="1"/>
    <col min="14071" max="14072" width="8.6640625" style="1012" customWidth="1"/>
    <col min="14073" max="14073" width="11.1640625" style="1012" customWidth="1"/>
    <col min="14074" max="14075" width="8.6640625" style="1012" customWidth="1"/>
    <col min="14076" max="14076" width="17.83203125" style="1012" customWidth="1"/>
    <col min="14077" max="14077" width="18.1640625" style="1012" customWidth="1"/>
    <col min="14078" max="14078" width="5.5" style="1012" customWidth="1"/>
    <col min="14079" max="14079" width="35" style="1012" customWidth="1"/>
    <col min="14080" max="14080" width="10" style="1012" customWidth="1"/>
    <col min="14081" max="14082" width="8.6640625" style="1012" customWidth="1"/>
    <col min="14083" max="14083" width="10.1640625" style="1012" customWidth="1"/>
    <col min="14084" max="14085" width="8.6640625" style="1012" customWidth="1"/>
    <col min="14086" max="14086" width="18.33203125" style="1012" customWidth="1"/>
    <col min="14087" max="14087" width="18.5" style="1012" customWidth="1"/>
    <col min="14088" max="14088" width="6.33203125" style="1012" customWidth="1"/>
    <col min="14089" max="14089" width="19.83203125" style="1012" customWidth="1"/>
    <col min="14090" max="14323" width="8.83203125" style="1012"/>
    <col min="14324" max="14324" width="4.5" style="1012" customWidth="1"/>
    <col min="14325" max="14325" width="35" style="1012" customWidth="1"/>
    <col min="14326" max="14326" width="10" style="1012" customWidth="1"/>
    <col min="14327" max="14328" width="8.6640625" style="1012" customWidth="1"/>
    <col min="14329" max="14329" width="11.1640625" style="1012" customWidth="1"/>
    <col min="14330" max="14331" width="8.6640625" style="1012" customWidth="1"/>
    <col min="14332" max="14332" width="17.83203125" style="1012" customWidth="1"/>
    <col min="14333" max="14333" width="18.1640625" style="1012" customWidth="1"/>
    <col min="14334" max="14334" width="5.5" style="1012" customWidth="1"/>
    <col min="14335" max="14335" width="35" style="1012" customWidth="1"/>
    <col min="14336" max="14336" width="10" style="1012" customWidth="1"/>
    <col min="14337" max="14338" width="8.6640625" style="1012" customWidth="1"/>
    <col min="14339" max="14339" width="10.1640625" style="1012" customWidth="1"/>
    <col min="14340" max="14341" width="8.6640625" style="1012" customWidth="1"/>
    <col min="14342" max="14342" width="18.33203125" style="1012" customWidth="1"/>
    <col min="14343" max="14343" width="18.5" style="1012" customWidth="1"/>
    <col min="14344" max="14344" width="6.33203125" style="1012" customWidth="1"/>
    <col min="14345" max="14345" width="19.83203125" style="1012" customWidth="1"/>
    <col min="14346" max="14579" width="8.83203125" style="1012"/>
    <col min="14580" max="14580" width="4.5" style="1012" customWidth="1"/>
    <col min="14581" max="14581" width="35" style="1012" customWidth="1"/>
    <col min="14582" max="14582" width="10" style="1012" customWidth="1"/>
    <col min="14583" max="14584" width="8.6640625" style="1012" customWidth="1"/>
    <col min="14585" max="14585" width="11.1640625" style="1012" customWidth="1"/>
    <col min="14586" max="14587" width="8.6640625" style="1012" customWidth="1"/>
    <col min="14588" max="14588" width="17.83203125" style="1012" customWidth="1"/>
    <col min="14589" max="14589" width="18.1640625" style="1012" customWidth="1"/>
    <col min="14590" max="14590" width="5.5" style="1012" customWidth="1"/>
    <col min="14591" max="14591" width="35" style="1012" customWidth="1"/>
    <col min="14592" max="14592" width="10" style="1012" customWidth="1"/>
    <col min="14593" max="14594" width="8.6640625" style="1012" customWidth="1"/>
    <col min="14595" max="14595" width="10.1640625" style="1012" customWidth="1"/>
    <col min="14596" max="14597" width="8.6640625" style="1012" customWidth="1"/>
    <col min="14598" max="14598" width="18.33203125" style="1012" customWidth="1"/>
    <col min="14599" max="14599" width="18.5" style="1012" customWidth="1"/>
    <col min="14600" max="14600" width="6.33203125" style="1012" customWidth="1"/>
    <col min="14601" max="14601" width="19.83203125" style="1012" customWidth="1"/>
    <col min="14602" max="14835" width="8.83203125" style="1012"/>
    <col min="14836" max="14836" width="4.5" style="1012" customWidth="1"/>
    <col min="14837" max="14837" width="35" style="1012" customWidth="1"/>
    <col min="14838" max="14838" width="10" style="1012" customWidth="1"/>
    <col min="14839" max="14840" width="8.6640625" style="1012" customWidth="1"/>
    <col min="14841" max="14841" width="11.1640625" style="1012" customWidth="1"/>
    <col min="14842" max="14843" width="8.6640625" style="1012" customWidth="1"/>
    <col min="14844" max="14844" width="17.83203125" style="1012" customWidth="1"/>
    <col min="14845" max="14845" width="18.1640625" style="1012" customWidth="1"/>
    <col min="14846" max="14846" width="5.5" style="1012" customWidth="1"/>
    <col min="14847" max="14847" width="35" style="1012" customWidth="1"/>
    <col min="14848" max="14848" width="10" style="1012" customWidth="1"/>
    <col min="14849" max="14850" width="8.6640625" style="1012" customWidth="1"/>
    <col min="14851" max="14851" width="10.1640625" style="1012" customWidth="1"/>
    <col min="14852" max="14853" width="8.6640625" style="1012" customWidth="1"/>
    <col min="14854" max="14854" width="18.33203125" style="1012" customWidth="1"/>
    <col min="14855" max="14855" width="18.5" style="1012" customWidth="1"/>
    <col min="14856" max="14856" width="6.33203125" style="1012" customWidth="1"/>
    <col min="14857" max="14857" width="19.83203125" style="1012" customWidth="1"/>
    <col min="14858" max="15091" width="8.83203125" style="1012"/>
    <col min="15092" max="15092" width="4.5" style="1012" customWidth="1"/>
    <col min="15093" max="15093" width="35" style="1012" customWidth="1"/>
    <col min="15094" max="15094" width="10" style="1012" customWidth="1"/>
    <col min="15095" max="15096" width="8.6640625" style="1012" customWidth="1"/>
    <col min="15097" max="15097" width="11.1640625" style="1012" customWidth="1"/>
    <col min="15098" max="15099" width="8.6640625" style="1012" customWidth="1"/>
    <col min="15100" max="15100" width="17.83203125" style="1012" customWidth="1"/>
    <col min="15101" max="15101" width="18.1640625" style="1012" customWidth="1"/>
    <col min="15102" max="15102" width="5.5" style="1012" customWidth="1"/>
    <col min="15103" max="15103" width="35" style="1012" customWidth="1"/>
    <col min="15104" max="15104" width="10" style="1012" customWidth="1"/>
    <col min="15105" max="15106" width="8.6640625" style="1012" customWidth="1"/>
    <col min="15107" max="15107" width="10.1640625" style="1012" customWidth="1"/>
    <col min="15108" max="15109" width="8.6640625" style="1012" customWidth="1"/>
    <col min="15110" max="15110" width="18.33203125" style="1012" customWidth="1"/>
    <col min="15111" max="15111" width="18.5" style="1012" customWidth="1"/>
    <col min="15112" max="15112" width="6.33203125" style="1012" customWidth="1"/>
    <col min="15113" max="15113" width="19.83203125" style="1012" customWidth="1"/>
    <col min="15114" max="15347" width="8.83203125" style="1012"/>
    <col min="15348" max="15348" width="4.5" style="1012" customWidth="1"/>
    <col min="15349" max="15349" width="35" style="1012" customWidth="1"/>
    <col min="15350" max="15350" width="10" style="1012" customWidth="1"/>
    <col min="15351" max="15352" width="8.6640625" style="1012" customWidth="1"/>
    <col min="15353" max="15353" width="11.1640625" style="1012" customWidth="1"/>
    <col min="15354" max="15355" width="8.6640625" style="1012" customWidth="1"/>
    <col min="15356" max="15356" width="17.83203125" style="1012" customWidth="1"/>
    <col min="15357" max="15357" width="18.1640625" style="1012" customWidth="1"/>
    <col min="15358" max="15358" width="5.5" style="1012" customWidth="1"/>
    <col min="15359" max="15359" width="35" style="1012" customWidth="1"/>
    <col min="15360" max="15360" width="10" style="1012" customWidth="1"/>
    <col min="15361" max="15362" width="8.6640625" style="1012" customWidth="1"/>
    <col min="15363" max="15363" width="10.1640625" style="1012" customWidth="1"/>
    <col min="15364" max="15365" width="8.6640625" style="1012" customWidth="1"/>
    <col min="15366" max="15366" width="18.33203125" style="1012" customWidth="1"/>
    <col min="15367" max="15367" width="18.5" style="1012" customWidth="1"/>
    <col min="15368" max="15368" width="6.33203125" style="1012" customWidth="1"/>
    <col min="15369" max="15369" width="19.83203125" style="1012" customWidth="1"/>
    <col min="15370" max="15603" width="8.83203125" style="1012"/>
    <col min="15604" max="15604" width="4.5" style="1012" customWidth="1"/>
    <col min="15605" max="15605" width="35" style="1012" customWidth="1"/>
    <col min="15606" max="15606" width="10" style="1012" customWidth="1"/>
    <col min="15607" max="15608" width="8.6640625" style="1012" customWidth="1"/>
    <col min="15609" max="15609" width="11.1640625" style="1012" customWidth="1"/>
    <col min="15610" max="15611" width="8.6640625" style="1012" customWidth="1"/>
    <col min="15612" max="15612" width="17.83203125" style="1012" customWidth="1"/>
    <col min="15613" max="15613" width="18.1640625" style="1012" customWidth="1"/>
    <col min="15614" max="15614" width="5.5" style="1012" customWidth="1"/>
    <col min="15615" max="15615" width="35" style="1012" customWidth="1"/>
    <col min="15616" max="15616" width="10" style="1012" customWidth="1"/>
    <col min="15617" max="15618" width="8.6640625" style="1012" customWidth="1"/>
    <col min="15619" max="15619" width="10.1640625" style="1012" customWidth="1"/>
    <col min="15620" max="15621" width="8.6640625" style="1012" customWidth="1"/>
    <col min="15622" max="15622" width="18.33203125" style="1012" customWidth="1"/>
    <col min="15623" max="15623" width="18.5" style="1012" customWidth="1"/>
    <col min="15624" max="15624" width="6.33203125" style="1012" customWidth="1"/>
    <col min="15625" max="15625" width="19.83203125" style="1012" customWidth="1"/>
    <col min="15626" max="15859" width="8.83203125" style="1012"/>
    <col min="15860" max="15860" width="4.5" style="1012" customWidth="1"/>
    <col min="15861" max="15861" width="35" style="1012" customWidth="1"/>
    <col min="15862" max="15862" width="10" style="1012" customWidth="1"/>
    <col min="15863" max="15864" width="8.6640625" style="1012" customWidth="1"/>
    <col min="15865" max="15865" width="11.1640625" style="1012" customWidth="1"/>
    <col min="15866" max="15867" width="8.6640625" style="1012" customWidth="1"/>
    <col min="15868" max="15868" width="17.83203125" style="1012" customWidth="1"/>
    <col min="15869" max="15869" width="18.1640625" style="1012" customWidth="1"/>
    <col min="15870" max="15870" width="5.5" style="1012" customWidth="1"/>
    <col min="15871" max="15871" width="35" style="1012" customWidth="1"/>
    <col min="15872" max="15872" width="10" style="1012" customWidth="1"/>
    <col min="15873" max="15874" width="8.6640625" style="1012" customWidth="1"/>
    <col min="15875" max="15875" width="10.1640625" style="1012" customWidth="1"/>
    <col min="15876" max="15877" width="8.6640625" style="1012" customWidth="1"/>
    <col min="15878" max="15878" width="18.33203125" style="1012" customWidth="1"/>
    <col min="15879" max="15879" width="18.5" style="1012" customWidth="1"/>
    <col min="15880" max="15880" width="6.33203125" style="1012" customWidth="1"/>
    <col min="15881" max="15881" width="19.83203125" style="1012" customWidth="1"/>
    <col min="15882" max="16115" width="8.83203125" style="1012"/>
    <col min="16116" max="16116" width="4.5" style="1012" customWidth="1"/>
    <col min="16117" max="16117" width="35" style="1012" customWidth="1"/>
    <col min="16118" max="16118" width="10" style="1012" customWidth="1"/>
    <col min="16119" max="16120" width="8.6640625" style="1012" customWidth="1"/>
    <col min="16121" max="16121" width="11.1640625" style="1012" customWidth="1"/>
    <col min="16122" max="16123" width="8.6640625" style="1012" customWidth="1"/>
    <col min="16124" max="16124" width="17.83203125" style="1012" customWidth="1"/>
    <col min="16125" max="16125" width="18.1640625" style="1012" customWidth="1"/>
    <col min="16126" max="16126" width="5.5" style="1012" customWidth="1"/>
    <col min="16127" max="16127" width="35" style="1012" customWidth="1"/>
    <col min="16128" max="16128" width="10" style="1012" customWidth="1"/>
    <col min="16129" max="16130" width="8.6640625" style="1012" customWidth="1"/>
    <col min="16131" max="16131" width="10.1640625" style="1012" customWidth="1"/>
    <col min="16132" max="16133" width="8.6640625" style="1012" customWidth="1"/>
    <col min="16134" max="16134" width="18.33203125" style="1012" customWidth="1"/>
    <col min="16135" max="16135" width="18.5" style="1012" customWidth="1"/>
    <col min="16136" max="16136" width="6.33203125" style="1012" customWidth="1"/>
    <col min="16137" max="16137" width="19.83203125" style="1012" customWidth="1"/>
    <col min="16138" max="16384" width="8.83203125" style="1012"/>
  </cols>
  <sheetData>
    <row r="2" spans="1:9" ht="13" thickBot="1"/>
    <row r="3" spans="1:9">
      <c r="A3" s="1154" t="s">
        <v>1293</v>
      </c>
      <c r="B3" s="1155"/>
      <c r="C3" s="1155"/>
      <c r="D3" s="1155"/>
      <c r="E3" s="1155"/>
      <c r="F3" s="1155"/>
      <c r="G3" s="1155"/>
      <c r="H3" s="1155"/>
      <c r="I3" s="1156"/>
    </row>
    <row r="4" spans="1:9" ht="13" thickBot="1">
      <c r="A4" s="1157"/>
      <c r="B4" s="1158"/>
      <c r="C4" s="1158"/>
      <c r="D4" s="1158"/>
      <c r="E4" s="1158"/>
      <c r="F4" s="1158"/>
      <c r="G4" s="1158"/>
      <c r="H4" s="1158"/>
      <c r="I4" s="1159"/>
    </row>
    <row r="5" spans="1:9">
      <c r="A5" s="1034" t="s">
        <v>1292</v>
      </c>
      <c r="B5" s="1033"/>
      <c r="C5" s="1033"/>
      <c r="D5" s="1033"/>
      <c r="E5" s="1033"/>
      <c r="F5" s="1033"/>
      <c r="G5" s="1033"/>
      <c r="H5" s="1033"/>
      <c r="I5" s="1032"/>
    </row>
    <row r="6" spans="1:9">
      <c r="A6" s="1017"/>
      <c r="C6" s="1016"/>
      <c r="D6" s="1016"/>
      <c r="E6" s="1016"/>
      <c r="F6" s="1016"/>
      <c r="G6" s="1016"/>
      <c r="H6" s="1016"/>
      <c r="I6" s="1021"/>
    </row>
    <row r="7" spans="1:9">
      <c r="A7" s="1028" t="s">
        <v>1291</v>
      </c>
      <c r="C7" s="1016" t="s">
        <v>139</v>
      </c>
      <c r="D7" s="1016" t="s">
        <v>37</v>
      </c>
      <c r="E7" s="1016"/>
      <c r="F7" s="1016" t="s">
        <v>38</v>
      </c>
      <c r="G7" s="1016" t="s">
        <v>5</v>
      </c>
      <c r="H7" s="1016" t="s">
        <v>2</v>
      </c>
      <c r="I7" s="1021" t="s">
        <v>1205</v>
      </c>
    </row>
    <row r="8" spans="1:9">
      <c r="A8" s="1017"/>
      <c r="C8" s="1016"/>
      <c r="D8" s="1016"/>
      <c r="E8" s="1016"/>
      <c r="F8" s="1016"/>
      <c r="G8" s="1016"/>
      <c r="H8" s="1016"/>
      <c r="I8" s="1021"/>
    </row>
    <row r="9" spans="1:9">
      <c r="A9" s="1031" t="s">
        <v>1290</v>
      </c>
      <c r="C9" s="1016">
        <v>150</v>
      </c>
      <c r="D9" s="1030">
        <v>2.4999999999999858</v>
      </c>
      <c r="E9" s="1016" t="s">
        <v>4</v>
      </c>
      <c r="F9" s="1030">
        <v>8</v>
      </c>
      <c r="G9" s="1016" t="s">
        <v>4</v>
      </c>
      <c r="H9" s="1029">
        <v>0</v>
      </c>
      <c r="I9" s="1025">
        <f t="shared" ref="I9:I40" si="0">SUM(F9*H9)</f>
        <v>0</v>
      </c>
    </row>
    <row r="10" spans="1:9">
      <c r="A10" s="1031" t="s">
        <v>1289</v>
      </c>
      <c r="C10" s="1016">
        <v>150</v>
      </c>
      <c r="D10" s="1030">
        <v>2.3499999999999943</v>
      </c>
      <c r="E10" s="1016" t="s">
        <v>4</v>
      </c>
      <c r="F10" s="1030">
        <v>8</v>
      </c>
      <c r="G10" s="1016" t="s">
        <v>4</v>
      </c>
      <c r="H10" s="1029">
        <v>0</v>
      </c>
      <c r="I10" s="1025">
        <f t="shared" si="0"/>
        <v>0</v>
      </c>
    </row>
    <row r="11" spans="1:9">
      <c r="A11" s="1031" t="s">
        <v>1288</v>
      </c>
      <c r="C11" s="1016">
        <v>150</v>
      </c>
      <c r="D11" s="1030">
        <v>1.9500000000000028</v>
      </c>
      <c r="E11" s="1016" t="s">
        <v>4</v>
      </c>
      <c r="F11" s="1030">
        <v>32.5</v>
      </c>
      <c r="G11" s="1016" t="s">
        <v>4</v>
      </c>
      <c r="H11" s="1029">
        <v>0</v>
      </c>
      <c r="I11" s="1025">
        <f t="shared" si="0"/>
        <v>0</v>
      </c>
    </row>
    <row r="12" spans="1:9">
      <c r="A12" s="1031" t="s">
        <v>1287</v>
      </c>
      <c r="C12" s="1016">
        <v>150</v>
      </c>
      <c r="D12" s="1030">
        <v>1.6499999999999915</v>
      </c>
      <c r="E12" s="1016" t="s">
        <v>4</v>
      </c>
      <c r="F12" s="1030">
        <v>54.5</v>
      </c>
      <c r="G12" s="1016" t="s">
        <v>4</v>
      </c>
      <c r="H12" s="1029">
        <v>0</v>
      </c>
      <c r="I12" s="1025">
        <f t="shared" si="0"/>
        <v>0</v>
      </c>
    </row>
    <row r="13" spans="1:9">
      <c r="A13" s="1031" t="s">
        <v>1286</v>
      </c>
      <c r="C13" s="1016">
        <v>150</v>
      </c>
      <c r="D13" s="1030">
        <v>1.6499999999999915</v>
      </c>
      <c r="E13" s="1016" t="s">
        <v>4</v>
      </c>
      <c r="F13" s="1030">
        <v>28</v>
      </c>
      <c r="G13" s="1016" t="s">
        <v>4</v>
      </c>
      <c r="H13" s="1029">
        <v>0</v>
      </c>
      <c r="I13" s="1025">
        <f t="shared" si="0"/>
        <v>0</v>
      </c>
    </row>
    <row r="14" spans="1:9">
      <c r="A14" s="1031" t="s">
        <v>1285</v>
      </c>
      <c r="C14" s="1016">
        <v>150</v>
      </c>
      <c r="D14" s="1030">
        <v>1.6499999999999915</v>
      </c>
      <c r="E14" s="1016" t="s">
        <v>4</v>
      </c>
      <c r="F14" s="1030">
        <v>56</v>
      </c>
      <c r="G14" s="1016" t="s">
        <v>4</v>
      </c>
      <c r="H14" s="1029">
        <v>0</v>
      </c>
      <c r="I14" s="1025">
        <f t="shared" si="0"/>
        <v>0</v>
      </c>
    </row>
    <row r="15" spans="1:9">
      <c r="A15" s="1031" t="s">
        <v>1284</v>
      </c>
      <c r="C15" s="1016">
        <v>150</v>
      </c>
      <c r="D15" s="1030">
        <v>2.1134999999999877</v>
      </c>
      <c r="E15" s="1016" t="s">
        <v>4</v>
      </c>
      <c r="F15" s="1030">
        <v>24</v>
      </c>
      <c r="G15" s="1016" t="s">
        <v>4</v>
      </c>
      <c r="H15" s="1029">
        <v>0</v>
      </c>
      <c r="I15" s="1025">
        <f t="shared" si="0"/>
        <v>0</v>
      </c>
    </row>
    <row r="16" spans="1:9">
      <c r="A16" s="1031" t="s">
        <v>1283</v>
      </c>
      <c r="C16" s="1016">
        <v>150</v>
      </c>
      <c r="D16" s="1030">
        <v>1.9499999999999886</v>
      </c>
      <c r="E16" s="1016" t="s">
        <v>4</v>
      </c>
      <c r="F16" s="1030">
        <v>8.5</v>
      </c>
      <c r="G16" s="1016" t="s">
        <v>4</v>
      </c>
      <c r="H16" s="1029">
        <v>0</v>
      </c>
      <c r="I16" s="1025">
        <f t="shared" si="0"/>
        <v>0</v>
      </c>
    </row>
    <row r="17" spans="1:9">
      <c r="A17" s="1031" t="s">
        <v>1282</v>
      </c>
      <c r="C17" s="1016">
        <v>150</v>
      </c>
      <c r="D17" s="1030">
        <v>2.0249999999999915</v>
      </c>
      <c r="E17" s="1016" t="s">
        <v>4</v>
      </c>
      <c r="F17" s="1030">
        <v>56</v>
      </c>
      <c r="G17" s="1016" t="s">
        <v>4</v>
      </c>
      <c r="H17" s="1029">
        <v>0</v>
      </c>
      <c r="I17" s="1025">
        <f t="shared" si="0"/>
        <v>0</v>
      </c>
    </row>
    <row r="18" spans="1:9">
      <c r="A18" s="1031" t="s">
        <v>1281</v>
      </c>
      <c r="C18" s="1016">
        <v>150</v>
      </c>
      <c r="D18" s="1030">
        <v>2.4000000000000057</v>
      </c>
      <c r="E18" s="1016" t="s">
        <v>4</v>
      </c>
      <c r="F18" s="1030">
        <v>17</v>
      </c>
      <c r="G18" s="1016" t="s">
        <v>4</v>
      </c>
      <c r="H18" s="1029">
        <v>0</v>
      </c>
      <c r="I18" s="1025">
        <f t="shared" si="0"/>
        <v>0</v>
      </c>
    </row>
    <row r="19" spans="1:9">
      <c r="A19" s="1031" t="s">
        <v>1280</v>
      </c>
      <c r="C19" s="1016">
        <v>150</v>
      </c>
      <c r="D19" s="1030">
        <v>2.3250000000000028</v>
      </c>
      <c r="E19" s="1016" t="s">
        <v>4</v>
      </c>
      <c r="F19" s="1030">
        <v>47.5</v>
      </c>
      <c r="G19" s="1016" t="s">
        <v>4</v>
      </c>
      <c r="H19" s="1029">
        <v>0</v>
      </c>
      <c r="I19" s="1025">
        <f t="shared" si="0"/>
        <v>0</v>
      </c>
    </row>
    <row r="20" spans="1:9">
      <c r="A20" s="1031" t="s">
        <v>1279</v>
      </c>
      <c r="C20" s="1016">
        <v>150</v>
      </c>
      <c r="D20" s="1030">
        <v>1.8375000000000057</v>
      </c>
      <c r="E20" s="1016" t="s">
        <v>4</v>
      </c>
      <c r="F20" s="1030">
        <v>16</v>
      </c>
      <c r="G20" s="1016" t="s">
        <v>4</v>
      </c>
      <c r="H20" s="1029">
        <v>0</v>
      </c>
      <c r="I20" s="1025">
        <f t="shared" si="0"/>
        <v>0</v>
      </c>
    </row>
    <row r="21" spans="1:9">
      <c r="A21" s="1031" t="s">
        <v>1278</v>
      </c>
      <c r="C21" s="1016">
        <v>150</v>
      </c>
      <c r="D21" s="1030">
        <v>2.2000000000000028</v>
      </c>
      <c r="E21" s="1016" t="s">
        <v>4</v>
      </c>
      <c r="F21" s="1030">
        <v>25.5</v>
      </c>
      <c r="G21" s="1016" t="s">
        <v>4</v>
      </c>
      <c r="H21" s="1029">
        <v>0</v>
      </c>
      <c r="I21" s="1025">
        <f t="shared" si="0"/>
        <v>0</v>
      </c>
    </row>
    <row r="22" spans="1:9">
      <c r="A22" s="1031" t="s">
        <v>1277</v>
      </c>
      <c r="C22" s="1016">
        <v>150</v>
      </c>
      <c r="D22" s="1030">
        <v>2.0100000000000051</v>
      </c>
      <c r="E22" s="1016" t="s">
        <v>4</v>
      </c>
      <c r="F22" s="1030">
        <v>14</v>
      </c>
      <c r="G22" s="1016" t="s">
        <v>4</v>
      </c>
      <c r="H22" s="1029">
        <v>0</v>
      </c>
      <c r="I22" s="1025">
        <f t="shared" si="0"/>
        <v>0</v>
      </c>
    </row>
    <row r="23" spans="1:9">
      <c r="A23" s="1031" t="s">
        <v>1276</v>
      </c>
      <c r="C23" s="1016">
        <v>150</v>
      </c>
      <c r="D23" s="1030">
        <v>1.8700000000000045</v>
      </c>
      <c r="E23" s="1016" t="s">
        <v>4</v>
      </c>
      <c r="F23" s="1030">
        <v>21</v>
      </c>
      <c r="G23" s="1016" t="s">
        <v>4</v>
      </c>
      <c r="H23" s="1029">
        <v>0</v>
      </c>
      <c r="I23" s="1025">
        <f t="shared" si="0"/>
        <v>0</v>
      </c>
    </row>
    <row r="24" spans="1:9">
      <c r="A24" s="1031" t="s">
        <v>1275</v>
      </c>
      <c r="C24" s="1016">
        <v>150</v>
      </c>
      <c r="D24" s="1030">
        <v>2.0750000000000028</v>
      </c>
      <c r="E24" s="1016" t="s">
        <v>4</v>
      </c>
      <c r="F24" s="1030">
        <v>23</v>
      </c>
      <c r="G24" s="1016" t="s">
        <v>4</v>
      </c>
      <c r="H24" s="1029">
        <v>0</v>
      </c>
      <c r="I24" s="1025">
        <f t="shared" si="0"/>
        <v>0</v>
      </c>
    </row>
    <row r="25" spans="1:9">
      <c r="A25" s="1031" t="s">
        <v>1274</v>
      </c>
      <c r="C25" s="1016">
        <v>150</v>
      </c>
      <c r="D25" s="1030">
        <v>2.4899999999999949</v>
      </c>
      <c r="E25" s="1016" t="s">
        <v>4</v>
      </c>
      <c r="F25" s="1030">
        <v>22.5</v>
      </c>
      <c r="G25" s="1016" t="s">
        <v>4</v>
      </c>
      <c r="H25" s="1029">
        <v>0</v>
      </c>
      <c r="I25" s="1025">
        <f t="shared" si="0"/>
        <v>0</v>
      </c>
    </row>
    <row r="26" spans="1:9">
      <c r="A26" s="1031" t="s">
        <v>1273</v>
      </c>
      <c r="C26" s="1016">
        <v>150</v>
      </c>
      <c r="D26" s="1030">
        <v>3.1749999999999972</v>
      </c>
      <c r="E26" s="1016" t="s">
        <v>4</v>
      </c>
      <c r="F26" s="1030">
        <v>24.5</v>
      </c>
      <c r="G26" s="1016" t="s">
        <v>4</v>
      </c>
      <c r="H26" s="1029">
        <v>0</v>
      </c>
      <c r="I26" s="1025">
        <f t="shared" si="0"/>
        <v>0</v>
      </c>
    </row>
    <row r="27" spans="1:9">
      <c r="A27" s="1031" t="s">
        <v>1272</v>
      </c>
      <c r="C27" s="1016">
        <v>150</v>
      </c>
      <c r="D27" s="1030">
        <v>2.6500000000000057</v>
      </c>
      <c r="E27" s="1016" t="s">
        <v>4</v>
      </c>
      <c r="F27" s="1030">
        <v>38</v>
      </c>
      <c r="G27" s="1016" t="s">
        <v>4</v>
      </c>
      <c r="H27" s="1029">
        <v>0</v>
      </c>
      <c r="I27" s="1025">
        <f t="shared" si="0"/>
        <v>0</v>
      </c>
    </row>
    <row r="28" spans="1:9">
      <c r="A28" s="1031" t="s">
        <v>1271</v>
      </c>
      <c r="C28" s="1016">
        <v>150</v>
      </c>
      <c r="D28" s="1030">
        <v>1.7250000000000085</v>
      </c>
      <c r="E28" s="1016" t="s">
        <v>4</v>
      </c>
      <c r="F28" s="1030">
        <v>49</v>
      </c>
      <c r="G28" s="1016" t="s">
        <v>4</v>
      </c>
      <c r="H28" s="1029">
        <v>0</v>
      </c>
      <c r="I28" s="1025">
        <f t="shared" si="0"/>
        <v>0</v>
      </c>
    </row>
    <row r="29" spans="1:9">
      <c r="A29" s="1031" t="s">
        <v>1270</v>
      </c>
      <c r="C29" s="1016">
        <v>150</v>
      </c>
      <c r="D29" s="1030">
        <v>1.8000000000000114</v>
      </c>
      <c r="E29" s="1016" t="s">
        <v>4</v>
      </c>
      <c r="F29" s="1030">
        <v>32</v>
      </c>
      <c r="G29" s="1016" t="s">
        <v>4</v>
      </c>
      <c r="H29" s="1029">
        <v>0</v>
      </c>
      <c r="I29" s="1025">
        <f t="shared" si="0"/>
        <v>0</v>
      </c>
    </row>
    <row r="30" spans="1:9">
      <c r="A30" s="1031" t="s">
        <v>1269</v>
      </c>
      <c r="C30" s="1016">
        <v>150</v>
      </c>
      <c r="D30" s="1030">
        <v>1.7625000000000028</v>
      </c>
      <c r="E30" s="1016" t="s">
        <v>4</v>
      </c>
      <c r="F30" s="1030">
        <v>50.5</v>
      </c>
      <c r="G30" s="1016" t="s">
        <v>4</v>
      </c>
      <c r="H30" s="1029">
        <v>0</v>
      </c>
      <c r="I30" s="1025">
        <f t="shared" si="0"/>
        <v>0</v>
      </c>
    </row>
    <row r="31" spans="1:9">
      <c r="A31" s="1031" t="s">
        <v>1268</v>
      </c>
      <c r="C31" s="1016">
        <v>150</v>
      </c>
      <c r="D31" s="1030">
        <v>2.0250000000000057</v>
      </c>
      <c r="E31" s="1016" t="s">
        <v>4</v>
      </c>
      <c r="F31" s="1030">
        <v>16.5</v>
      </c>
      <c r="G31" s="1016" t="s">
        <v>4</v>
      </c>
      <c r="H31" s="1029">
        <v>0</v>
      </c>
      <c r="I31" s="1025">
        <f t="shared" si="0"/>
        <v>0</v>
      </c>
    </row>
    <row r="32" spans="1:9">
      <c r="A32" s="1031" t="s">
        <v>1267</v>
      </c>
      <c r="C32" s="1016">
        <v>150</v>
      </c>
      <c r="D32" s="1030">
        <v>1.6499999999999915</v>
      </c>
      <c r="E32" s="1016" t="s">
        <v>4</v>
      </c>
      <c r="F32" s="1030">
        <v>24</v>
      </c>
      <c r="G32" s="1016" t="s">
        <v>4</v>
      </c>
      <c r="H32" s="1029">
        <v>0</v>
      </c>
      <c r="I32" s="1025">
        <f t="shared" si="0"/>
        <v>0</v>
      </c>
    </row>
    <row r="33" spans="1:9">
      <c r="A33" s="1031" t="s">
        <v>1266</v>
      </c>
      <c r="C33" s="1016">
        <v>150</v>
      </c>
      <c r="D33" s="1030">
        <v>1.6499999999999915</v>
      </c>
      <c r="E33" s="1016" t="s">
        <v>4</v>
      </c>
      <c r="F33" s="1030">
        <v>32.5</v>
      </c>
      <c r="G33" s="1016" t="s">
        <v>4</v>
      </c>
      <c r="H33" s="1029">
        <v>0</v>
      </c>
      <c r="I33" s="1025">
        <f t="shared" si="0"/>
        <v>0</v>
      </c>
    </row>
    <row r="34" spans="1:9">
      <c r="A34" s="1031" t="s">
        <v>1265</v>
      </c>
      <c r="C34" s="1016">
        <v>150</v>
      </c>
      <c r="D34" s="1030">
        <v>1.8374999999999915</v>
      </c>
      <c r="E34" s="1016" t="s">
        <v>4</v>
      </c>
      <c r="F34" s="1030">
        <v>23</v>
      </c>
      <c r="G34" s="1016" t="s">
        <v>4</v>
      </c>
      <c r="H34" s="1029">
        <v>0</v>
      </c>
      <c r="I34" s="1025">
        <f t="shared" si="0"/>
        <v>0</v>
      </c>
    </row>
    <row r="35" spans="1:9">
      <c r="A35" s="1031" t="s">
        <v>1264</v>
      </c>
      <c r="C35" s="1016">
        <v>150</v>
      </c>
      <c r="D35" s="1030">
        <v>2.1624999999999943</v>
      </c>
      <c r="E35" s="1016" t="s">
        <v>4</v>
      </c>
      <c r="F35" s="1030">
        <v>32</v>
      </c>
      <c r="G35" s="1016" t="s">
        <v>4</v>
      </c>
      <c r="H35" s="1029">
        <v>0</v>
      </c>
      <c r="I35" s="1025">
        <f t="shared" si="0"/>
        <v>0</v>
      </c>
    </row>
    <row r="36" spans="1:9">
      <c r="A36" s="1031" t="s">
        <v>1263</v>
      </c>
      <c r="C36" s="1016">
        <v>150</v>
      </c>
      <c r="D36" s="1030">
        <v>2.1250000000000142</v>
      </c>
      <c r="E36" s="1016" t="s">
        <v>4</v>
      </c>
      <c r="F36" s="1030">
        <v>63.5</v>
      </c>
      <c r="G36" s="1016" t="s">
        <v>4</v>
      </c>
      <c r="H36" s="1029">
        <v>0</v>
      </c>
      <c r="I36" s="1025">
        <f t="shared" si="0"/>
        <v>0</v>
      </c>
    </row>
    <row r="37" spans="1:9">
      <c r="A37" s="1031" t="s">
        <v>1262</v>
      </c>
      <c r="C37" s="1016">
        <v>150</v>
      </c>
      <c r="D37" s="1030">
        <v>1.9000000000000057</v>
      </c>
      <c r="E37" s="1016" t="s">
        <v>4</v>
      </c>
      <c r="F37" s="1030">
        <v>31.5</v>
      </c>
      <c r="G37" s="1016" t="s">
        <v>4</v>
      </c>
      <c r="H37" s="1029">
        <v>0</v>
      </c>
      <c r="I37" s="1025">
        <f t="shared" si="0"/>
        <v>0</v>
      </c>
    </row>
    <row r="38" spans="1:9">
      <c r="A38" s="1031" t="s">
        <v>1261</v>
      </c>
      <c r="C38" s="1016">
        <v>150</v>
      </c>
      <c r="D38" s="1030">
        <v>1.7374999999999972</v>
      </c>
      <c r="E38" s="1016" t="s">
        <v>4</v>
      </c>
      <c r="F38" s="1030">
        <v>27.5</v>
      </c>
      <c r="G38" s="1016" t="s">
        <v>4</v>
      </c>
      <c r="H38" s="1029">
        <v>0</v>
      </c>
      <c r="I38" s="1025">
        <f t="shared" si="0"/>
        <v>0</v>
      </c>
    </row>
    <row r="39" spans="1:9">
      <c r="A39" s="1031" t="s">
        <v>1260</v>
      </c>
      <c r="C39" s="1016">
        <v>150</v>
      </c>
      <c r="D39" s="1030">
        <v>1.8124999999999858</v>
      </c>
      <c r="E39" s="1016" t="s">
        <v>4</v>
      </c>
      <c r="F39" s="1030">
        <v>21.5</v>
      </c>
      <c r="G39" s="1016" t="s">
        <v>4</v>
      </c>
      <c r="H39" s="1029">
        <v>0</v>
      </c>
      <c r="I39" s="1025">
        <f t="shared" si="0"/>
        <v>0</v>
      </c>
    </row>
    <row r="40" spans="1:9">
      <c r="A40" s="1031" t="s">
        <v>1259</v>
      </c>
      <c r="C40" s="1016">
        <v>150</v>
      </c>
      <c r="D40" s="1030">
        <v>1.8125</v>
      </c>
      <c r="E40" s="1016" t="s">
        <v>4</v>
      </c>
      <c r="F40" s="1030">
        <v>55</v>
      </c>
      <c r="G40" s="1016" t="s">
        <v>4</v>
      </c>
      <c r="H40" s="1029">
        <v>0</v>
      </c>
      <c r="I40" s="1025">
        <f t="shared" si="0"/>
        <v>0</v>
      </c>
    </row>
    <row r="41" spans="1:9">
      <c r="A41" s="1031" t="s">
        <v>1258</v>
      </c>
      <c r="C41" s="1016">
        <v>150</v>
      </c>
      <c r="D41" s="1030">
        <v>1.8625000000000114</v>
      </c>
      <c r="E41" s="1016" t="s">
        <v>4</v>
      </c>
      <c r="F41" s="1030">
        <v>27.5</v>
      </c>
      <c r="G41" s="1016" t="s">
        <v>4</v>
      </c>
      <c r="H41" s="1029">
        <v>0</v>
      </c>
      <c r="I41" s="1025">
        <f t="shared" ref="I41:I72" si="1">SUM(F41*H41)</f>
        <v>0</v>
      </c>
    </row>
    <row r="42" spans="1:9">
      <c r="A42" s="1031" t="s">
        <v>1257</v>
      </c>
      <c r="C42" s="1016">
        <v>150</v>
      </c>
      <c r="D42" s="1030">
        <v>2.0524999999999949</v>
      </c>
      <c r="E42" s="1016" t="s">
        <v>4</v>
      </c>
      <c r="F42" s="1030">
        <v>28.5</v>
      </c>
      <c r="G42" s="1016" t="s">
        <v>4</v>
      </c>
      <c r="H42" s="1029">
        <v>0</v>
      </c>
      <c r="I42" s="1025">
        <f t="shared" si="1"/>
        <v>0</v>
      </c>
    </row>
    <row r="43" spans="1:9">
      <c r="A43" s="1031" t="s">
        <v>1256</v>
      </c>
      <c r="C43" s="1016">
        <v>150</v>
      </c>
      <c r="D43" s="1030">
        <v>1.8249999999999886</v>
      </c>
      <c r="E43" s="1016" t="s">
        <v>4</v>
      </c>
      <c r="F43" s="1030">
        <v>21</v>
      </c>
      <c r="G43" s="1016" t="s">
        <v>4</v>
      </c>
      <c r="H43" s="1029">
        <v>0</v>
      </c>
      <c r="I43" s="1025">
        <f t="shared" si="1"/>
        <v>0</v>
      </c>
    </row>
    <row r="44" spans="1:9">
      <c r="A44" s="1031" t="s">
        <v>1255</v>
      </c>
      <c r="C44" s="1016">
        <v>150</v>
      </c>
      <c r="D44" s="1030">
        <v>1.8624999999999972</v>
      </c>
      <c r="E44" s="1016" t="s">
        <v>4</v>
      </c>
      <c r="F44" s="1030">
        <v>68</v>
      </c>
      <c r="G44" s="1016" t="s">
        <v>4</v>
      </c>
      <c r="H44" s="1029">
        <v>0</v>
      </c>
      <c r="I44" s="1025">
        <f t="shared" si="1"/>
        <v>0</v>
      </c>
    </row>
    <row r="45" spans="1:9">
      <c r="A45" s="1031" t="s">
        <v>1254</v>
      </c>
      <c r="C45" s="1016">
        <v>150</v>
      </c>
      <c r="D45" s="1030">
        <v>1.9500000000000028</v>
      </c>
      <c r="E45" s="1016" t="s">
        <v>4</v>
      </c>
      <c r="F45" s="1030">
        <v>20.672363344571924</v>
      </c>
      <c r="G45" s="1016" t="s">
        <v>4</v>
      </c>
      <c r="H45" s="1029">
        <v>0</v>
      </c>
      <c r="I45" s="1025">
        <f t="shared" si="1"/>
        <v>0</v>
      </c>
    </row>
    <row r="46" spans="1:9">
      <c r="A46" s="1031" t="s">
        <v>1253</v>
      </c>
      <c r="C46" s="1016">
        <v>150</v>
      </c>
      <c r="D46" s="1030">
        <v>1.8499999999999943</v>
      </c>
      <c r="E46" s="1016" t="s">
        <v>4</v>
      </c>
      <c r="F46" s="1030">
        <v>17.953741114319307</v>
      </c>
      <c r="G46" s="1016" t="s">
        <v>4</v>
      </c>
      <c r="H46" s="1029">
        <v>0</v>
      </c>
      <c r="I46" s="1025">
        <f t="shared" si="1"/>
        <v>0</v>
      </c>
    </row>
    <row r="47" spans="1:9">
      <c r="A47" s="1031" t="s">
        <v>1252</v>
      </c>
      <c r="C47" s="1016">
        <v>150</v>
      </c>
      <c r="D47" s="1030">
        <v>1.8500000000000085</v>
      </c>
      <c r="E47" s="1016" t="s">
        <v>4</v>
      </c>
      <c r="F47" s="1030">
        <v>41.762490314276043</v>
      </c>
      <c r="G47" s="1016" t="s">
        <v>4</v>
      </c>
      <c r="H47" s="1029">
        <v>0</v>
      </c>
      <c r="I47" s="1025">
        <f t="shared" si="1"/>
        <v>0</v>
      </c>
    </row>
    <row r="48" spans="1:9">
      <c r="A48" s="1031" t="s">
        <v>1251</v>
      </c>
      <c r="C48" s="1016">
        <v>150</v>
      </c>
      <c r="D48" s="1030">
        <v>1.875</v>
      </c>
      <c r="E48" s="1016" t="s">
        <v>4</v>
      </c>
      <c r="F48" s="1030">
        <v>58.758653286133097</v>
      </c>
      <c r="G48" s="1016" t="s">
        <v>4</v>
      </c>
      <c r="H48" s="1029">
        <v>0</v>
      </c>
      <c r="I48" s="1025">
        <f t="shared" si="1"/>
        <v>0</v>
      </c>
    </row>
    <row r="49" spans="1:9">
      <c r="A49" s="1031" t="s">
        <v>1250</v>
      </c>
      <c r="C49" s="1016">
        <v>150</v>
      </c>
      <c r="D49" s="1030">
        <v>1.8500000000000085</v>
      </c>
      <c r="E49" s="1016" t="s">
        <v>4</v>
      </c>
      <c r="F49" s="1030">
        <v>46.368132313583644</v>
      </c>
      <c r="G49" s="1016" t="s">
        <v>4</v>
      </c>
      <c r="H49" s="1029">
        <v>0</v>
      </c>
      <c r="I49" s="1025">
        <f t="shared" si="1"/>
        <v>0</v>
      </c>
    </row>
    <row r="50" spans="1:9">
      <c r="A50" s="1031" t="s">
        <v>1249</v>
      </c>
      <c r="C50" s="1016">
        <v>150</v>
      </c>
      <c r="D50" s="1030">
        <v>1.8055000000000092</v>
      </c>
      <c r="E50" s="1016" t="s">
        <v>4</v>
      </c>
      <c r="F50" s="1030">
        <v>54.543475029099497</v>
      </c>
      <c r="G50" s="1016" t="s">
        <v>4</v>
      </c>
      <c r="H50" s="1029">
        <v>0</v>
      </c>
      <c r="I50" s="1025">
        <f t="shared" si="1"/>
        <v>0</v>
      </c>
    </row>
    <row r="51" spans="1:9">
      <c r="A51" s="1031" t="s">
        <v>1248</v>
      </c>
      <c r="C51" s="1016">
        <v>150</v>
      </c>
      <c r="D51" s="1030">
        <v>1.680499999999995</v>
      </c>
      <c r="E51" s="1016" t="s">
        <v>4</v>
      </c>
      <c r="F51" s="1030">
        <v>31.640329585040682</v>
      </c>
      <c r="G51" s="1016" t="s">
        <v>4</v>
      </c>
      <c r="H51" s="1029">
        <v>0</v>
      </c>
      <c r="I51" s="1025">
        <f t="shared" si="1"/>
        <v>0</v>
      </c>
    </row>
    <row r="52" spans="1:9">
      <c r="A52" s="1031" t="s">
        <v>1247</v>
      </c>
      <c r="C52" s="1016">
        <v>150</v>
      </c>
      <c r="D52" s="1030">
        <v>1.6499999999999773</v>
      </c>
      <c r="E52" s="1016" t="s">
        <v>4</v>
      </c>
      <c r="F52" s="1030">
        <v>20.888161365950804</v>
      </c>
      <c r="G52" s="1016" t="s">
        <v>4</v>
      </c>
      <c r="H52" s="1029">
        <v>0</v>
      </c>
      <c r="I52" s="1025">
        <f t="shared" si="1"/>
        <v>0</v>
      </c>
    </row>
    <row r="53" spans="1:9">
      <c r="A53" s="1031" t="s">
        <v>1246</v>
      </c>
      <c r="C53" s="1016">
        <v>150</v>
      </c>
      <c r="D53" s="1030">
        <v>1.7999999999999972</v>
      </c>
      <c r="E53" s="1016" t="s">
        <v>4</v>
      </c>
      <c r="F53" s="1030">
        <v>39.662043883289719</v>
      </c>
      <c r="G53" s="1016" t="s">
        <v>4</v>
      </c>
      <c r="H53" s="1029">
        <v>0</v>
      </c>
      <c r="I53" s="1025">
        <f t="shared" si="1"/>
        <v>0</v>
      </c>
    </row>
    <row r="54" spans="1:9">
      <c r="A54" s="1031" t="s">
        <v>1245</v>
      </c>
      <c r="C54" s="1016">
        <v>150</v>
      </c>
      <c r="D54" s="1030">
        <v>1.8000000000000114</v>
      </c>
      <c r="E54" s="1016" t="s">
        <v>4</v>
      </c>
      <c r="F54" s="1030">
        <v>46.445914056028649</v>
      </c>
      <c r="G54" s="1016" t="s">
        <v>4</v>
      </c>
      <c r="H54" s="1029">
        <v>0</v>
      </c>
      <c r="I54" s="1025">
        <f t="shared" si="1"/>
        <v>0</v>
      </c>
    </row>
    <row r="55" spans="1:9">
      <c r="A55" s="1031" t="s">
        <v>1244</v>
      </c>
      <c r="C55" s="1016">
        <v>150</v>
      </c>
      <c r="D55" s="1030">
        <v>1.7625000000000028</v>
      </c>
      <c r="E55" s="1016" t="s">
        <v>4</v>
      </c>
      <c r="F55" s="1030">
        <v>54.453281595327205</v>
      </c>
      <c r="G55" s="1016" t="s">
        <v>4</v>
      </c>
      <c r="H55" s="1029">
        <v>0</v>
      </c>
      <c r="I55" s="1025">
        <f t="shared" si="1"/>
        <v>0</v>
      </c>
    </row>
    <row r="56" spans="1:9">
      <c r="A56" s="1031" t="s">
        <v>1243</v>
      </c>
      <c r="C56" s="1016">
        <v>225</v>
      </c>
      <c r="D56" s="1030">
        <v>1.9500000000000171</v>
      </c>
      <c r="E56" s="1016" t="s">
        <v>4</v>
      </c>
      <c r="F56" s="1030">
        <v>4.5764048116397751</v>
      </c>
      <c r="G56" s="1016" t="s">
        <v>4</v>
      </c>
      <c r="H56" s="1029">
        <v>0</v>
      </c>
      <c r="I56" s="1025">
        <f t="shared" si="1"/>
        <v>0</v>
      </c>
    </row>
    <row r="57" spans="1:9">
      <c r="A57" s="1031" t="s">
        <v>1242</v>
      </c>
      <c r="C57" s="1016">
        <v>225</v>
      </c>
      <c r="D57" s="1030">
        <v>1.9000000000000057</v>
      </c>
      <c r="E57" s="1016" t="s">
        <v>4</v>
      </c>
      <c r="F57" s="1030">
        <v>10.095016555211787</v>
      </c>
      <c r="G57" s="1016" t="s">
        <v>4</v>
      </c>
      <c r="H57" s="1029">
        <v>0</v>
      </c>
      <c r="I57" s="1025">
        <f t="shared" si="1"/>
        <v>0</v>
      </c>
    </row>
    <row r="58" spans="1:9">
      <c r="A58" s="1031" t="s">
        <v>1241</v>
      </c>
      <c r="C58" s="1016">
        <v>150</v>
      </c>
      <c r="D58" s="1030">
        <v>1.75</v>
      </c>
      <c r="E58" s="1016" t="s">
        <v>4</v>
      </c>
      <c r="F58" s="1030">
        <v>37.579933930889197</v>
      </c>
      <c r="G58" s="1016" t="s">
        <v>4</v>
      </c>
      <c r="H58" s="1029">
        <v>0</v>
      </c>
      <c r="I58" s="1025">
        <f t="shared" si="1"/>
        <v>0</v>
      </c>
    </row>
    <row r="59" spans="1:9">
      <c r="A59" s="1031" t="s">
        <v>1240</v>
      </c>
      <c r="C59" s="1016">
        <v>150</v>
      </c>
      <c r="D59" s="1030">
        <v>1.6500000000000057</v>
      </c>
      <c r="E59" s="1016" t="s">
        <v>4</v>
      </c>
      <c r="F59" s="1030">
        <v>18.891546052401342</v>
      </c>
      <c r="G59" s="1016" t="s">
        <v>4</v>
      </c>
      <c r="H59" s="1029">
        <v>0</v>
      </c>
      <c r="I59" s="1025">
        <f t="shared" si="1"/>
        <v>0</v>
      </c>
    </row>
    <row r="60" spans="1:9">
      <c r="A60" s="1031" t="s">
        <v>1239</v>
      </c>
      <c r="C60" s="1016">
        <v>150</v>
      </c>
      <c r="D60" s="1030">
        <v>1.7000000000000028</v>
      </c>
      <c r="E60" s="1016" t="s">
        <v>4</v>
      </c>
      <c r="F60" s="1030">
        <v>39.722744542642076</v>
      </c>
      <c r="G60" s="1016" t="s">
        <v>4</v>
      </c>
      <c r="H60" s="1029">
        <v>0</v>
      </c>
      <c r="I60" s="1025">
        <f t="shared" si="1"/>
        <v>0</v>
      </c>
    </row>
    <row r="61" spans="1:9">
      <c r="A61" s="1031" t="s">
        <v>1238</v>
      </c>
      <c r="C61" s="1016">
        <v>150</v>
      </c>
      <c r="D61" s="1030">
        <v>1.8250000000000028</v>
      </c>
      <c r="E61" s="1016" t="s">
        <v>4</v>
      </c>
      <c r="F61" s="1030">
        <v>14.581549026080859</v>
      </c>
      <c r="G61" s="1016" t="s">
        <v>4</v>
      </c>
      <c r="H61" s="1029">
        <v>0</v>
      </c>
      <c r="I61" s="1025">
        <f t="shared" si="1"/>
        <v>0</v>
      </c>
    </row>
    <row r="62" spans="1:9">
      <c r="A62" s="1031" t="s">
        <v>1237</v>
      </c>
      <c r="C62" s="1016">
        <v>150</v>
      </c>
      <c r="D62" s="1030">
        <v>2.2000000000000028</v>
      </c>
      <c r="E62" s="1016" t="s">
        <v>4</v>
      </c>
      <c r="F62" s="1030">
        <v>26.149732183140983</v>
      </c>
      <c r="G62" s="1016" t="s">
        <v>4</v>
      </c>
      <c r="H62" s="1029">
        <v>0</v>
      </c>
      <c r="I62" s="1025">
        <f t="shared" si="1"/>
        <v>0</v>
      </c>
    </row>
    <row r="63" spans="1:9">
      <c r="A63" s="1031" t="s">
        <v>1236</v>
      </c>
      <c r="C63" s="1016">
        <v>150</v>
      </c>
      <c r="D63" s="1030">
        <v>2.0750000000000028</v>
      </c>
      <c r="E63" s="1016" t="s">
        <v>4</v>
      </c>
      <c r="F63" s="1030">
        <v>32.478121824545184</v>
      </c>
      <c r="G63" s="1016" t="s">
        <v>4</v>
      </c>
      <c r="H63" s="1029">
        <v>0</v>
      </c>
      <c r="I63" s="1025">
        <f t="shared" si="1"/>
        <v>0</v>
      </c>
    </row>
    <row r="64" spans="1:9">
      <c r="A64" s="1031" t="s">
        <v>1235</v>
      </c>
      <c r="C64" s="1016">
        <v>150</v>
      </c>
      <c r="D64" s="1030">
        <v>1.6875</v>
      </c>
      <c r="E64" s="1016" t="s">
        <v>4</v>
      </c>
      <c r="F64" s="1030">
        <v>45.88751481884804</v>
      </c>
      <c r="G64" s="1016" t="s">
        <v>4</v>
      </c>
      <c r="H64" s="1029">
        <v>0</v>
      </c>
      <c r="I64" s="1025">
        <f t="shared" si="1"/>
        <v>0</v>
      </c>
    </row>
    <row r="65" spans="1:9">
      <c r="A65" s="1031" t="s">
        <v>1234</v>
      </c>
      <c r="C65" s="1016">
        <v>150</v>
      </c>
      <c r="D65" s="1030">
        <v>1.7874999999999943</v>
      </c>
      <c r="E65" s="1016" t="s">
        <v>4</v>
      </c>
      <c r="F65" s="1030">
        <v>27.159324204589488</v>
      </c>
      <c r="G65" s="1016" t="s">
        <v>4</v>
      </c>
      <c r="H65" s="1029">
        <v>0</v>
      </c>
      <c r="I65" s="1025">
        <f t="shared" si="1"/>
        <v>0</v>
      </c>
    </row>
    <row r="66" spans="1:9">
      <c r="A66" s="1031" t="s">
        <v>1233</v>
      </c>
      <c r="C66" s="1016">
        <v>150</v>
      </c>
      <c r="D66" s="1030">
        <v>2.25</v>
      </c>
      <c r="E66" s="1016" t="s">
        <v>4</v>
      </c>
      <c r="F66" s="1030">
        <v>52.37134240211909</v>
      </c>
      <c r="G66" s="1016" t="s">
        <v>4</v>
      </c>
      <c r="H66" s="1029">
        <v>0</v>
      </c>
      <c r="I66" s="1025">
        <f t="shared" si="1"/>
        <v>0</v>
      </c>
    </row>
    <row r="67" spans="1:9">
      <c r="A67" s="1031" t="s">
        <v>1232</v>
      </c>
      <c r="C67" s="1016">
        <v>150</v>
      </c>
      <c r="D67" s="1030">
        <v>2.2000000000000028</v>
      </c>
      <c r="E67" s="1016" t="s">
        <v>4</v>
      </c>
      <c r="F67" s="1030">
        <v>25.666521433571766</v>
      </c>
      <c r="G67" s="1016" t="s">
        <v>4</v>
      </c>
      <c r="H67" s="1029">
        <v>0</v>
      </c>
      <c r="I67" s="1025">
        <f t="shared" si="1"/>
        <v>0</v>
      </c>
    </row>
    <row r="68" spans="1:9">
      <c r="A68" s="1031" t="s">
        <v>1231</v>
      </c>
      <c r="C68" s="1016">
        <v>150</v>
      </c>
      <c r="D68" s="1030">
        <v>1.75</v>
      </c>
      <c r="E68" s="1016" t="s">
        <v>4</v>
      </c>
      <c r="F68" s="1030">
        <v>20.646278114953308</v>
      </c>
      <c r="G68" s="1016" t="s">
        <v>4</v>
      </c>
      <c r="H68" s="1029">
        <v>0</v>
      </c>
      <c r="I68" s="1025">
        <f t="shared" si="1"/>
        <v>0</v>
      </c>
    </row>
    <row r="69" spans="1:9">
      <c r="A69" s="1031" t="s">
        <v>1230</v>
      </c>
      <c r="C69" s="1016">
        <v>150</v>
      </c>
      <c r="D69" s="1030">
        <v>1.6500000000000057</v>
      </c>
      <c r="E69" s="1016" t="s">
        <v>4</v>
      </c>
      <c r="F69" s="1030">
        <v>40.918992463769243</v>
      </c>
      <c r="G69" s="1016" t="s">
        <v>4</v>
      </c>
      <c r="H69" s="1029">
        <v>0</v>
      </c>
      <c r="I69" s="1027">
        <f t="shared" si="1"/>
        <v>0</v>
      </c>
    </row>
    <row r="70" spans="1:9">
      <c r="A70" s="1031" t="s">
        <v>1229</v>
      </c>
      <c r="C70" s="1016">
        <v>150</v>
      </c>
      <c r="D70" s="1030">
        <v>1.7250000000000085</v>
      </c>
      <c r="E70" s="1016" t="s">
        <v>4</v>
      </c>
      <c r="F70" s="1030">
        <v>20.748279380469139</v>
      </c>
      <c r="G70" s="1016" t="s">
        <v>4</v>
      </c>
      <c r="H70" s="1029">
        <v>0</v>
      </c>
      <c r="I70" s="1027">
        <f t="shared" si="1"/>
        <v>0</v>
      </c>
    </row>
    <row r="71" spans="1:9">
      <c r="A71" s="1031" t="s">
        <v>1228</v>
      </c>
      <c r="C71" s="1016">
        <v>150</v>
      </c>
      <c r="D71" s="1030">
        <v>1.7625000000000028</v>
      </c>
      <c r="E71" s="1016" t="s">
        <v>4</v>
      </c>
      <c r="F71" s="1030">
        <v>48.630134304770309</v>
      </c>
      <c r="G71" s="1016" t="s">
        <v>4</v>
      </c>
      <c r="H71" s="1029">
        <v>0</v>
      </c>
      <c r="I71" s="1027">
        <f t="shared" si="1"/>
        <v>0</v>
      </c>
    </row>
    <row r="72" spans="1:9">
      <c r="A72" s="1031" t="s">
        <v>1227</v>
      </c>
      <c r="C72" s="1016">
        <v>150</v>
      </c>
      <c r="D72" s="1030">
        <v>1.7250000000000085</v>
      </c>
      <c r="E72" s="1016" t="s">
        <v>4</v>
      </c>
      <c r="F72" s="1030">
        <v>24.676705012014889</v>
      </c>
      <c r="G72" s="1016" t="s">
        <v>4</v>
      </c>
      <c r="H72" s="1029">
        <v>0</v>
      </c>
      <c r="I72" s="1027">
        <f t="shared" si="1"/>
        <v>0</v>
      </c>
    </row>
    <row r="73" spans="1:9">
      <c r="A73" s="1031" t="s">
        <v>1226</v>
      </c>
      <c r="C73" s="1016">
        <v>150</v>
      </c>
      <c r="D73" s="1030">
        <v>1.6875000000000142</v>
      </c>
      <c r="E73" s="1016" t="s">
        <v>4</v>
      </c>
      <c r="F73" s="1030">
        <v>36.809156775182963</v>
      </c>
      <c r="G73" s="1016" t="s">
        <v>4</v>
      </c>
      <c r="H73" s="1029">
        <v>0</v>
      </c>
      <c r="I73" s="1027">
        <f t="shared" ref="I73:I104" si="2">SUM(F73*H73)</f>
        <v>0</v>
      </c>
    </row>
    <row r="74" spans="1:9">
      <c r="A74" s="1031" t="s">
        <v>1225</v>
      </c>
      <c r="C74" s="1016">
        <v>150</v>
      </c>
      <c r="D74" s="1030">
        <v>1.6500000000000057</v>
      </c>
      <c r="E74" s="1016" t="s">
        <v>4</v>
      </c>
      <c r="F74" s="1030">
        <v>58.358732253622527</v>
      </c>
      <c r="G74" s="1016" t="s">
        <v>4</v>
      </c>
      <c r="H74" s="1029">
        <v>0</v>
      </c>
      <c r="I74" s="1027">
        <f t="shared" si="2"/>
        <v>0</v>
      </c>
    </row>
    <row r="75" spans="1:9">
      <c r="A75" s="1031" t="s">
        <v>1224</v>
      </c>
      <c r="C75" s="1016">
        <v>150</v>
      </c>
      <c r="D75" s="1030">
        <v>1.6500000000000057</v>
      </c>
      <c r="E75" s="1016" t="s">
        <v>4</v>
      </c>
      <c r="F75" s="1030">
        <v>17.004739956847306</v>
      </c>
      <c r="G75" s="1016" t="s">
        <v>4</v>
      </c>
      <c r="H75" s="1029">
        <v>0</v>
      </c>
      <c r="I75" s="1027">
        <f t="shared" si="2"/>
        <v>0</v>
      </c>
    </row>
    <row r="76" spans="1:9">
      <c r="A76" s="1031" t="s">
        <v>1223</v>
      </c>
      <c r="C76" s="1016">
        <v>150</v>
      </c>
      <c r="D76" s="1030">
        <v>1.6900000000000119</v>
      </c>
      <c r="E76" s="1016" t="s">
        <v>4</v>
      </c>
      <c r="F76" s="1030">
        <v>31.198352716930426</v>
      </c>
      <c r="G76" s="1016" t="s">
        <v>4</v>
      </c>
      <c r="H76" s="1029">
        <v>0</v>
      </c>
      <c r="I76" s="1027">
        <f t="shared" si="2"/>
        <v>0</v>
      </c>
    </row>
    <row r="77" spans="1:9">
      <c r="A77" s="1031" t="s">
        <v>1222</v>
      </c>
      <c r="C77" s="1016">
        <v>150</v>
      </c>
      <c r="D77" s="1030">
        <v>1.7150000000000176</v>
      </c>
      <c r="E77" s="1016" t="s">
        <v>4</v>
      </c>
      <c r="F77" s="1030">
        <v>29.225408465922268</v>
      </c>
      <c r="G77" s="1016" t="s">
        <v>4</v>
      </c>
      <c r="H77" s="1029">
        <v>0</v>
      </c>
      <c r="I77" s="1027">
        <f t="shared" si="2"/>
        <v>0</v>
      </c>
    </row>
    <row r="78" spans="1:9">
      <c r="A78" s="1031" t="s">
        <v>1221</v>
      </c>
      <c r="C78" s="1016">
        <v>150</v>
      </c>
      <c r="D78" s="1030">
        <v>1.6625000000000085</v>
      </c>
      <c r="E78" s="1016" t="s">
        <v>4</v>
      </c>
      <c r="F78" s="1030">
        <v>34.29660130391931</v>
      </c>
      <c r="G78" s="1016" t="s">
        <v>4</v>
      </c>
      <c r="H78" s="1029">
        <v>0</v>
      </c>
      <c r="I78" s="1025">
        <f t="shared" si="2"/>
        <v>0</v>
      </c>
    </row>
    <row r="79" spans="1:9">
      <c r="A79" s="1031" t="s">
        <v>1220</v>
      </c>
      <c r="C79" s="1016">
        <v>150</v>
      </c>
      <c r="D79" s="1030">
        <v>1.8134999999999906</v>
      </c>
      <c r="E79" s="1016" t="s">
        <v>4</v>
      </c>
      <c r="F79" s="1030">
        <v>35.847292244324407</v>
      </c>
      <c r="G79" s="1016" t="s">
        <v>4</v>
      </c>
      <c r="H79" s="1029">
        <v>0</v>
      </c>
      <c r="I79" s="1025">
        <f t="shared" si="2"/>
        <v>0</v>
      </c>
    </row>
    <row r="80" spans="1:9">
      <c r="A80" s="1031" t="s">
        <v>1219</v>
      </c>
      <c r="C80" s="1016">
        <v>150</v>
      </c>
      <c r="D80" s="1030">
        <v>1.8509999999999849</v>
      </c>
      <c r="E80" s="1016" t="s">
        <v>4</v>
      </c>
      <c r="F80" s="1030">
        <v>25.457869362929799</v>
      </c>
      <c r="G80" s="1016" t="s">
        <v>4</v>
      </c>
      <c r="H80" s="1029">
        <v>0</v>
      </c>
      <c r="I80" s="1025">
        <f t="shared" si="2"/>
        <v>0</v>
      </c>
    </row>
    <row r="81" spans="1:9">
      <c r="A81" s="1031" t="s">
        <v>1218</v>
      </c>
      <c r="C81" s="1016">
        <v>150</v>
      </c>
      <c r="D81" s="1030">
        <v>1.6999999999999886</v>
      </c>
      <c r="E81" s="1016" t="s">
        <v>4</v>
      </c>
      <c r="F81" s="1030">
        <v>29.520564061345432</v>
      </c>
      <c r="G81" s="1016" t="s">
        <v>4</v>
      </c>
      <c r="H81" s="1029">
        <v>0</v>
      </c>
      <c r="I81" s="1025">
        <f t="shared" si="2"/>
        <v>0</v>
      </c>
    </row>
    <row r="82" spans="1:9">
      <c r="A82" s="1031" t="s">
        <v>1217</v>
      </c>
      <c r="C82" s="1016">
        <v>150</v>
      </c>
      <c r="D82" s="1030">
        <v>1.8499999999999943</v>
      </c>
      <c r="E82" s="1016" t="s">
        <v>4</v>
      </c>
      <c r="F82" s="1030">
        <v>25.611210265233488</v>
      </c>
      <c r="G82" s="1016" t="s">
        <v>4</v>
      </c>
      <c r="H82" s="1029">
        <v>0</v>
      </c>
      <c r="I82" s="1025">
        <f t="shared" si="2"/>
        <v>0</v>
      </c>
    </row>
    <row r="83" spans="1:9">
      <c r="A83" s="1031" t="s">
        <v>1216</v>
      </c>
      <c r="C83" s="1016">
        <v>150</v>
      </c>
      <c r="D83" s="1030">
        <v>1.8499999999999943</v>
      </c>
      <c r="E83" s="1016" t="s">
        <v>4</v>
      </c>
      <c r="F83" s="1030">
        <v>20.049173954305477</v>
      </c>
      <c r="G83" s="1016" t="s">
        <v>4</v>
      </c>
      <c r="H83" s="1029">
        <v>0</v>
      </c>
      <c r="I83" s="1025">
        <f t="shared" si="2"/>
        <v>0</v>
      </c>
    </row>
    <row r="84" spans="1:9">
      <c r="A84" s="1031" t="s">
        <v>1215</v>
      </c>
      <c r="C84" s="1016">
        <v>150</v>
      </c>
      <c r="D84" s="1030">
        <v>1.6749999999999972</v>
      </c>
      <c r="E84" s="1016" t="s">
        <v>4</v>
      </c>
      <c r="F84" s="1030">
        <v>39.669573482078185</v>
      </c>
      <c r="G84" s="1016" t="s">
        <v>4</v>
      </c>
      <c r="H84" s="1029">
        <v>0</v>
      </c>
      <c r="I84" s="1025">
        <f t="shared" si="2"/>
        <v>0</v>
      </c>
    </row>
    <row r="85" spans="1:9">
      <c r="A85" s="1031" t="s">
        <v>1214</v>
      </c>
      <c r="C85" s="1016">
        <v>150</v>
      </c>
      <c r="D85" s="1030">
        <v>1.5375000000000085</v>
      </c>
      <c r="E85" s="1016" t="s">
        <v>4</v>
      </c>
      <c r="F85" s="1030">
        <v>37.225897856868414</v>
      </c>
      <c r="G85" s="1016" t="s">
        <v>4</v>
      </c>
      <c r="H85" s="1029">
        <v>0</v>
      </c>
      <c r="I85" s="1025">
        <f t="shared" si="2"/>
        <v>0</v>
      </c>
    </row>
    <row r="86" spans="1:9">
      <c r="A86" s="1031" t="s">
        <v>1213</v>
      </c>
      <c r="C86" s="1016">
        <v>150</v>
      </c>
      <c r="D86" s="1030">
        <v>1.7125000000000057</v>
      </c>
      <c r="E86" s="1016" t="s">
        <v>4</v>
      </c>
      <c r="F86" s="1030">
        <v>23.378903759586375</v>
      </c>
      <c r="G86" s="1016" t="s">
        <v>4</v>
      </c>
      <c r="H86" s="1029">
        <v>0</v>
      </c>
      <c r="I86" s="1025">
        <f t="shared" si="2"/>
        <v>0</v>
      </c>
    </row>
    <row r="87" spans="1:9">
      <c r="A87" s="1031" t="s">
        <v>1212</v>
      </c>
      <c r="C87" s="1016">
        <v>150</v>
      </c>
      <c r="D87" s="1030">
        <v>1.7374999999999972</v>
      </c>
      <c r="E87" s="1016" t="s">
        <v>4</v>
      </c>
      <c r="F87" s="1030">
        <v>19.958440081830084</v>
      </c>
      <c r="G87" s="1016" t="s">
        <v>4</v>
      </c>
      <c r="H87" s="1029">
        <v>0</v>
      </c>
      <c r="I87" s="1025">
        <f t="shared" si="2"/>
        <v>0</v>
      </c>
    </row>
    <row r="88" spans="1:9">
      <c r="A88" s="1031" t="s">
        <v>1211</v>
      </c>
      <c r="C88" s="1016">
        <v>150</v>
      </c>
      <c r="D88" s="1030">
        <v>1.6999999999999886</v>
      </c>
      <c r="E88" s="1016" t="s">
        <v>4</v>
      </c>
      <c r="F88" s="1030">
        <v>17.036987204315189</v>
      </c>
      <c r="G88" s="1016" t="s">
        <v>4</v>
      </c>
      <c r="H88" s="1029">
        <v>0</v>
      </c>
      <c r="I88" s="1025">
        <f t="shared" si="2"/>
        <v>0</v>
      </c>
    </row>
    <row r="89" spans="1:9">
      <c r="A89" s="1031" t="s">
        <v>1210</v>
      </c>
      <c r="C89" s="1016">
        <v>150</v>
      </c>
      <c r="D89" s="1030">
        <v>1.6624999999999943</v>
      </c>
      <c r="E89" s="1016" t="s">
        <v>4</v>
      </c>
      <c r="F89" s="1030">
        <v>33.988119174205544</v>
      </c>
      <c r="G89" s="1016" t="s">
        <v>4</v>
      </c>
      <c r="H89" s="1029">
        <v>0</v>
      </c>
      <c r="I89" s="1025">
        <f t="shared" si="2"/>
        <v>0</v>
      </c>
    </row>
    <row r="90" spans="1:9">
      <c r="A90" s="1031" t="s">
        <v>1209</v>
      </c>
      <c r="C90" s="1016">
        <v>150</v>
      </c>
      <c r="D90" s="1030">
        <v>1.625</v>
      </c>
      <c r="E90" s="1016" t="s">
        <v>4</v>
      </c>
      <c r="F90" s="1030">
        <v>53.973072068393549</v>
      </c>
      <c r="G90" s="1016" t="s">
        <v>4</v>
      </c>
      <c r="H90" s="1029">
        <v>0</v>
      </c>
      <c r="I90" s="1025">
        <f t="shared" si="2"/>
        <v>0</v>
      </c>
    </row>
    <row r="91" spans="1:9">
      <c r="A91" s="1031" t="s">
        <v>1208</v>
      </c>
      <c r="C91" s="1016">
        <v>150</v>
      </c>
      <c r="D91" s="1030">
        <v>1.5875000000000057</v>
      </c>
      <c r="E91" s="1016" t="s">
        <v>4</v>
      </c>
      <c r="F91" s="1030">
        <v>55.220185077560174</v>
      </c>
      <c r="G91" s="1016" t="s">
        <v>4</v>
      </c>
      <c r="H91" s="1029">
        <v>0</v>
      </c>
      <c r="I91" s="1025">
        <f t="shared" si="2"/>
        <v>0</v>
      </c>
    </row>
    <row r="92" spans="1:9">
      <c r="A92" s="1031"/>
      <c r="C92" s="1016"/>
      <c r="D92" s="1030"/>
      <c r="E92" s="1016"/>
      <c r="F92" s="1030"/>
      <c r="G92" s="1016"/>
      <c r="H92" s="1026"/>
      <c r="I92" s="1025"/>
    </row>
    <row r="93" spans="1:9">
      <c r="A93" s="1017"/>
      <c r="C93" s="1016"/>
      <c r="D93" s="1016"/>
      <c r="E93" s="1016"/>
      <c r="F93" s="1016"/>
      <c r="G93" s="1016"/>
      <c r="H93" s="1026"/>
      <c r="I93" s="1025"/>
    </row>
    <row r="94" spans="1:9">
      <c r="A94" s="1017" t="s">
        <v>1207</v>
      </c>
      <c r="C94" s="1016">
        <v>225</v>
      </c>
      <c r="D94" s="1016"/>
      <c r="E94" s="1016"/>
      <c r="F94" s="1016">
        <v>4</v>
      </c>
      <c r="G94" s="1016" t="s">
        <v>16</v>
      </c>
      <c r="H94" s="1026">
        <v>0</v>
      </c>
      <c r="I94" s="1025">
        <f>SUM(F94*H94)</f>
        <v>0</v>
      </c>
    </row>
    <row r="95" spans="1:9">
      <c r="A95" s="1017" t="s">
        <v>1207</v>
      </c>
      <c r="C95" s="1016">
        <v>150</v>
      </c>
      <c r="D95" s="1016"/>
      <c r="E95" s="1016"/>
      <c r="F95" s="1016">
        <v>162</v>
      </c>
      <c r="G95" s="1016" t="s">
        <v>16</v>
      </c>
      <c r="H95" s="1026">
        <v>0</v>
      </c>
      <c r="I95" s="1025">
        <f>SUM(F95*H95)</f>
        <v>0</v>
      </c>
    </row>
    <row r="96" spans="1:9">
      <c r="A96" s="1017"/>
      <c r="C96" s="1016"/>
      <c r="D96" s="1016"/>
      <c r="E96" s="1016"/>
      <c r="F96" s="1016"/>
      <c r="G96" s="1016"/>
      <c r="H96" s="1016"/>
      <c r="I96" s="1021"/>
    </row>
    <row r="97" spans="1:9" ht="13" thickBot="1">
      <c r="A97" s="1017"/>
      <c r="C97" s="1016"/>
      <c r="D97" s="1016"/>
      <c r="E97" s="1016"/>
      <c r="F97" s="1016"/>
      <c r="G97" s="1016"/>
      <c r="H97" s="1016"/>
      <c r="I97" s="1024">
        <f>SUM(I9:I96)</f>
        <v>0</v>
      </c>
    </row>
    <row r="98" spans="1:9" ht="13" thickTop="1">
      <c r="A98" s="1017"/>
      <c r="C98" s="1016"/>
      <c r="D98" s="1016"/>
      <c r="E98" s="1016"/>
      <c r="F98" s="1016"/>
      <c r="G98" s="1016"/>
      <c r="H98" s="1016"/>
      <c r="I98" s="1021"/>
    </row>
    <row r="99" spans="1:9">
      <c r="A99" s="1028" t="s">
        <v>1206</v>
      </c>
      <c r="C99" s="1016" t="s">
        <v>139</v>
      </c>
      <c r="D99" s="1016" t="s">
        <v>37</v>
      </c>
      <c r="E99" s="1016"/>
      <c r="F99" s="1016" t="s">
        <v>16</v>
      </c>
      <c r="G99" s="1016" t="s">
        <v>5</v>
      </c>
      <c r="H99" s="1016" t="s">
        <v>2</v>
      </c>
      <c r="I99" s="1021" t="s">
        <v>1205</v>
      </c>
    </row>
    <row r="100" spans="1:9">
      <c r="A100" s="1017"/>
      <c r="C100" s="1016"/>
      <c r="D100" s="1016"/>
      <c r="E100" s="1016"/>
      <c r="F100" s="1016"/>
      <c r="G100" s="1016"/>
      <c r="H100" s="1016"/>
      <c r="I100" s="1021"/>
    </row>
    <row r="101" spans="1:9">
      <c r="A101" s="1031" t="s">
        <v>1204</v>
      </c>
      <c r="C101" s="1016">
        <v>1200</v>
      </c>
      <c r="D101" s="1030">
        <v>1.625</v>
      </c>
      <c r="E101" s="1016" t="s">
        <v>4</v>
      </c>
      <c r="F101" s="1016">
        <v>1</v>
      </c>
      <c r="G101" s="1016" t="s">
        <v>16</v>
      </c>
      <c r="H101" s="1029">
        <v>0</v>
      </c>
      <c r="I101" s="1025">
        <f t="shared" ref="I101:I132" si="3">SUM(F101*H101)</f>
        <v>0</v>
      </c>
    </row>
    <row r="102" spans="1:9">
      <c r="A102" s="1031" t="s">
        <v>1203</v>
      </c>
      <c r="C102" s="1016">
        <v>1200</v>
      </c>
      <c r="D102" s="1030">
        <v>1.6499999999999773</v>
      </c>
      <c r="E102" s="1016" t="s">
        <v>4</v>
      </c>
      <c r="F102" s="1016">
        <v>1</v>
      </c>
      <c r="G102" s="1016" t="s">
        <v>16</v>
      </c>
      <c r="H102" s="1029">
        <v>0</v>
      </c>
      <c r="I102" s="1025">
        <f t="shared" si="3"/>
        <v>0</v>
      </c>
    </row>
    <row r="103" spans="1:9">
      <c r="A103" s="1031" t="s">
        <v>1202</v>
      </c>
      <c r="C103" s="1016">
        <v>1200</v>
      </c>
      <c r="D103" s="1030">
        <v>1.6499999999999773</v>
      </c>
      <c r="E103" s="1016" t="s">
        <v>4</v>
      </c>
      <c r="F103" s="1016">
        <v>1</v>
      </c>
      <c r="G103" s="1016" t="s">
        <v>16</v>
      </c>
      <c r="H103" s="1029">
        <v>0</v>
      </c>
      <c r="I103" s="1025">
        <f t="shared" si="3"/>
        <v>0</v>
      </c>
    </row>
    <row r="104" spans="1:9">
      <c r="A104" s="1031" t="s">
        <v>1201</v>
      </c>
      <c r="C104" s="1016">
        <v>1200</v>
      </c>
      <c r="D104" s="1030">
        <v>1.8000000000000114</v>
      </c>
      <c r="E104" s="1016" t="s">
        <v>4</v>
      </c>
      <c r="F104" s="1016">
        <v>1</v>
      </c>
      <c r="G104" s="1016" t="s">
        <v>16</v>
      </c>
      <c r="H104" s="1029">
        <v>0</v>
      </c>
      <c r="I104" s="1025">
        <f t="shared" si="3"/>
        <v>0</v>
      </c>
    </row>
    <row r="105" spans="1:9">
      <c r="A105" s="1031" t="s">
        <v>1200</v>
      </c>
      <c r="C105" s="1016">
        <v>1200</v>
      </c>
      <c r="D105" s="1030">
        <v>1.8000000000000114</v>
      </c>
      <c r="E105" s="1016" t="s">
        <v>4</v>
      </c>
      <c r="F105" s="1016">
        <v>1</v>
      </c>
      <c r="G105" s="1016" t="s">
        <v>16</v>
      </c>
      <c r="H105" s="1029">
        <v>0</v>
      </c>
      <c r="I105" s="1025">
        <f t="shared" si="3"/>
        <v>0</v>
      </c>
    </row>
    <row r="106" spans="1:9">
      <c r="A106" s="1031" t="s">
        <v>1199</v>
      </c>
      <c r="C106" s="1016">
        <v>1200</v>
      </c>
      <c r="D106" s="1030">
        <v>1.7999999999999829</v>
      </c>
      <c r="E106" s="1016" t="s">
        <v>4</v>
      </c>
      <c r="F106" s="1016">
        <v>1</v>
      </c>
      <c r="G106" s="1016" t="s">
        <v>16</v>
      </c>
      <c r="H106" s="1029">
        <v>0</v>
      </c>
      <c r="I106" s="1025">
        <f t="shared" si="3"/>
        <v>0</v>
      </c>
    </row>
    <row r="107" spans="1:9">
      <c r="A107" s="1031" t="s">
        <v>1198</v>
      </c>
      <c r="C107" s="1016">
        <v>1200</v>
      </c>
      <c r="D107" s="1030">
        <v>1.9000000000000057</v>
      </c>
      <c r="E107" s="1016" t="s">
        <v>4</v>
      </c>
      <c r="F107" s="1016">
        <v>1</v>
      </c>
      <c r="G107" s="1016" t="s">
        <v>16</v>
      </c>
      <c r="H107" s="1029">
        <v>0</v>
      </c>
      <c r="I107" s="1025">
        <f t="shared" si="3"/>
        <v>0</v>
      </c>
    </row>
    <row r="108" spans="1:9">
      <c r="A108" s="1031" t="s">
        <v>1197</v>
      </c>
      <c r="C108" s="1016">
        <v>1200</v>
      </c>
      <c r="D108" s="1030">
        <v>1.7999999999999829</v>
      </c>
      <c r="E108" s="1016" t="s">
        <v>4</v>
      </c>
      <c r="F108" s="1016">
        <v>1</v>
      </c>
      <c r="G108" s="1016" t="s">
        <v>16</v>
      </c>
      <c r="H108" s="1029">
        <v>0</v>
      </c>
      <c r="I108" s="1025">
        <f t="shared" si="3"/>
        <v>0</v>
      </c>
    </row>
    <row r="109" spans="1:9">
      <c r="A109" s="1031" t="s">
        <v>1196</v>
      </c>
      <c r="C109" s="1016">
        <v>1200</v>
      </c>
      <c r="D109" s="1030">
        <v>1.8249999999999886</v>
      </c>
      <c r="E109" s="1016" t="s">
        <v>4</v>
      </c>
      <c r="F109" s="1016">
        <v>1</v>
      </c>
      <c r="G109" s="1016" t="s">
        <v>16</v>
      </c>
      <c r="H109" s="1029">
        <v>0</v>
      </c>
      <c r="I109" s="1025">
        <f t="shared" si="3"/>
        <v>0</v>
      </c>
    </row>
    <row r="110" spans="1:9">
      <c r="A110" s="1031" t="s">
        <v>1195</v>
      </c>
      <c r="C110" s="1016">
        <v>1200</v>
      </c>
      <c r="D110" s="1030">
        <v>1.7249999999999943</v>
      </c>
      <c r="E110" s="1016" t="s">
        <v>4</v>
      </c>
      <c r="F110" s="1016">
        <v>1</v>
      </c>
      <c r="G110" s="1016" t="s">
        <v>16</v>
      </c>
      <c r="H110" s="1029">
        <v>0</v>
      </c>
      <c r="I110" s="1025">
        <f t="shared" si="3"/>
        <v>0</v>
      </c>
    </row>
    <row r="111" spans="1:9">
      <c r="A111" s="1031" t="s">
        <v>1194</v>
      </c>
      <c r="C111" s="1016">
        <v>1200</v>
      </c>
      <c r="D111" s="1030">
        <v>1.8000000000000114</v>
      </c>
      <c r="E111" s="1016" t="s">
        <v>4</v>
      </c>
      <c r="F111" s="1016">
        <v>1</v>
      </c>
      <c r="G111" s="1016" t="s">
        <v>16</v>
      </c>
      <c r="H111" s="1029">
        <v>0</v>
      </c>
      <c r="I111" s="1025">
        <f t="shared" si="3"/>
        <v>0</v>
      </c>
    </row>
    <row r="112" spans="1:9">
      <c r="A112" s="1031" t="s">
        <v>1193</v>
      </c>
      <c r="C112" s="1016">
        <v>1200</v>
      </c>
      <c r="D112" s="1030">
        <v>1.9000000000000057</v>
      </c>
      <c r="E112" s="1016" t="s">
        <v>4</v>
      </c>
      <c r="F112" s="1016">
        <v>1</v>
      </c>
      <c r="G112" s="1016" t="s">
        <v>16</v>
      </c>
      <c r="H112" s="1029">
        <v>0</v>
      </c>
      <c r="I112" s="1025">
        <f t="shared" si="3"/>
        <v>0</v>
      </c>
    </row>
    <row r="113" spans="1:9">
      <c r="A113" s="1031" t="s">
        <v>1192</v>
      </c>
      <c r="C113" s="1016">
        <v>1200</v>
      </c>
      <c r="D113" s="1030">
        <v>1.8249999999999886</v>
      </c>
      <c r="E113" s="1016" t="s">
        <v>4</v>
      </c>
      <c r="F113" s="1016">
        <v>1</v>
      </c>
      <c r="G113" s="1016" t="s">
        <v>16</v>
      </c>
      <c r="H113" s="1029">
        <v>0</v>
      </c>
      <c r="I113" s="1025">
        <f t="shared" si="3"/>
        <v>0</v>
      </c>
    </row>
    <row r="114" spans="1:9">
      <c r="A114" s="1031" t="s">
        <v>1191</v>
      </c>
      <c r="C114" s="1016">
        <v>1200</v>
      </c>
      <c r="D114" s="1030">
        <v>1.8249999999999886</v>
      </c>
      <c r="E114" s="1016" t="s">
        <v>4</v>
      </c>
      <c r="F114" s="1016">
        <v>1</v>
      </c>
      <c r="G114" s="1016" t="s">
        <v>16</v>
      </c>
      <c r="H114" s="1029">
        <v>0</v>
      </c>
      <c r="I114" s="1025">
        <f t="shared" si="3"/>
        <v>0</v>
      </c>
    </row>
    <row r="115" spans="1:9">
      <c r="A115" s="1031" t="s">
        <v>1190</v>
      </c>
      <c r="C115" s="1016">
        <v>1200</v>
      </c>
      <c r="D115" s="1030">
        <v>1.7249999999999943</v>
      </c>
      <c r="E115" s="1016" t="s">
        <v>4</v>
      </c>
      <c r="F115" s="1016">
        <v>1</v>
      </c>
      <c r="G115" s="1016" t="s">
        <v>16</v>
      </c>
      <c r="H115" s="1029">
        <v>0</v>
      </c>
      <c r="I115" s="1025">
        <f t="shared" si="3"/>
        <v>0</v>
      </c>
    </row>
    <row r="116" spans="1:9">
      <c r="A116" s="1031" t="s">
        <v>1189</v>
      </c>
      <c r="C116" s="1016">
        <v>1200</v>
      </c>
      <c r="D116" s="1030">
        <v>1.8000000000000114</v>
      </c>
      <c r="E116" s="1016" t="s">
        <v>4</v>
      </c>
      <c r="F116" s="1016">
        <v>1</v>
      </c>
      <c r="G116" s="1016" t="s">
        <v>16</v>
      </c>
      <c r="H116" s="1029">
        <v>0</v>
      </c>
      <c r="I116" s="1025">
        <f t="shared" si="3"/>
        <v>0</v>
      </c>
    </row>
    <row r="117" spans="1:9">
      <c r="A117" s="1031" t="s">
        <v>1188</v>
      </c>
      <c r="C117" s="1016">
        <v>1200</v>
      </c>
      <c r="D117" s="1030">
        <v>1.8000000000000114</v>
      </c>
      <c r="E117" s="1016" t="s">
        <v>4</v>
      </c>
      <c r="F117" s="1016">
        <v>1</v>
      </c>
      <c r="G117" s="1016" t="s">
        <v>16</v>
      </c>
      <c r="H117" s="1029">
        <v>0</v>
      </c>
      <c r="I117" s="1025">
        <f t="shared" si="3"/>
        <v>0</v>
      </c>
    </row>
    <row r="118" spans="1:9">
      <c r="A118" s="1031" t="s">
        <v>1187</v>
      </c>
      <c r="C118" s="1016">
        <v>1200</v>
      </c>
      <c r="D118" s="1030">
        <v>1.6500000000000057</v>
      </c>
      <c r="E118" s="1016" t="s">
        <v>4</v>
      </c>
      <c r="F118" s="1016">
        <v>1</v>
      </c>
      <c r="G118" s="1016" t="s">
        <v>16</v>
      </c>
      <c r="H118" s="1029">
        <v>0</v>
      </c>
      <c r="I118" s="1025">
        <f t="shared" si="3"/>
        <v>0</v>
      </c>
    </row>
    <row r="119" spans="1:9">
      <c r="A119" s="1031" t="s">
        <v>1186</v>
      </c>
      <c r="C119" s="1016">
        <v>1200</v>
      </c>
      <c r="D119" s="1030">
        <v>3.6500000000000057</v>
      </c>
      <c r="E119" s="1016" t="s">
        <v>4</v>
      </c>
      <c r="F119" s="1016">
        <v>1</v>
      </c>
      <c r="G119" s="1016" t="s">
        <v>16</v>
      </c>
      <c r="H119" s="1029">
        <v>0</v>
      </c>
      <c r="I119" s="1025">
        <f t="shared" si="3"/>
        <v>0</v>
      </c>
    </row>
    <row r="120" spans="1:9">
      <c r="A120" s="1031" t="s">
        <v>1185</v>
      </c>
      <c r="C120" s="1016">
        <v>1200</v>
      </c>
      <c r="D120" s="1030">
        <v>2.6999999999999886</v>
      </c>
      <c r="E120" s="1016" t="s">
        <v>4</v>
      </c>
      <c r="F120" s="1016">
        <v>1</v>
      </c>
      <c r="G120" s="1016" t="s">
        <v>16</v>
      </c>
      <c r="H120" s="1029">
        <v>0</v>
      </c>
      <c r="I120" s="1025">
        <f t="shared" si="3"/>
        <v>0</v>
      </c>
    </row>
    <row r="121" spans="1:9">
      <c r="A121" s="1031" t="s">
        <v>1184</v>
      </c>
      <c r="C121" s="1016">
        <v>1200</v>
      </c>
      <c r="D121" s="1030">
        <v>2.2800000000000011</v>
      </c>
      <c r="E121" s="1016" t="s">
        <v>4</v>
      </c>
      <c r="F121" s="1016">
        <v>1</v>
      </c>
      <c r="G121" s="1016" t="s">
        <v>16</v>
      </c>
      <c r="H121" s="1029">
        <v>0</v>
      </c>
      <c r="I121" s="1025">
        <f t="shared" si="3"/>
        <v>0</v>
      </c>
    </row>
    <row r="122" spans="1:9">
      <c r="A122" s="1031" t="s">
        <v>1183</v>
      </c>
      <c r="C122" s="1016">
        <v>1200</v>
      </c>
      <c r="D122" s="1030">
        <v>1.8700000000000045</v>
      </c>
      <c r="E122" s="1016" t="s">
        <v>4</v>
      </c>
      <c r="F122" s="1016">
        <v>1</v>
      </c>
      <c r="G122" s="1016" t="s">
        <v>16</v>
      </c>
      <c r="H122" s="1029">
        <v>0</v>
      </c>
      <c r="I122" s="1025">
        <f t="shared" si="3"/>
        <v>0</v>
      </c>
    </row>
    <row r="123" spans="1:9">
      <c r="A123" s="1031" t="s">
        <v>1182</v>
      </c>
      <c r="C123" s="1016">
        <v>1200</v>
      </c>
      <c r="D123" s="1030">
        <v>1.8700000000000045</v>
      </c>
      <c r="E123" s="1016" t="s">
        <v>4</v>
      </c>
      <c r="F123" s="1016">
        <v>1</v>
      </c>
      <c r="G123" s="1016" t="s">
        <v>16</v>
      </c>
      <c r="H123" s="1029">
        <v>0</v>
      </c>
      <c r="I123" s="1025">
        <f t="shared" si="3"/>
        <v>0</v>
      </c>
    </row>
    <row r="124" spans="1:9">
      <c r="A124" s="1031" t="s">
        <v>1181</v>
      </c>
      <c r="C124" s="1016">
        <v>1200</v>
      </c>
      <c r="D124" s="1030">
        <v>2.1500000000000057</v>
      </c>
      <c r="E124" s="1016" t="s">
        <v>4</v>
      </c>
      <c r="F124" s="1016">
        <v>1</v>
      </c>
      <c r="G124" s="1016" t="s">
        <v>16</v>
      </c>
      <c r="H124" s="1029">
        <v>0</v>
      </c>
      <c r="I124" s="1025">
        <f t="shared" si="3"/>
        <v>0</v>
      </c>
    </row>
    <row r="125" spans="1:9">
      <c r="A125" s="1031" t="s">
        <v>1180</v>
      </c>
      <c r="C125" s="1016">
        <v>1200</v>
      </c>
      <c r="D125" s="1030">
        <v>2.25</v>
      </c>
      <c r="E125" s="1016" t="s">
        <v>4</v>
      </c>
      <c r="F125" s="1016">
        <v>1</v>
      </c>
      <c r="G125" s="1016" t="s">
        <v>16</v>
      </c>
      <c r="H125" s="1029">
        <v>0</v>
      </c>
      <c r="I125" s="1025">
        <f t="shared" si="3"/>
        <v>0</v>
      </c>
    </row>
    <row r="126" spans="1:9">
      <c r="A126" s="1031" t="s">
        <v>1179</v>
      </c>
      <c r="C126" s="1016">
        <v>1200</v>
      </c>
      <c r="D126" s="1030">
        <v>2.5769999999999982</v>
      </c>
      <c r="E126" s="1016" t="s">
        <v>4</v>
      </c>
      <c r="F126" s="1016">
        <v>1</v>
      </c>
      <c r="G126" s="1016" t="s">
        <v>16</v>
      </c>
      <c r="H126" s="1029">
        <v>0</v>
      </c>
      <c r="I126" s="1025">
        <f t="shared" si="3"/>
        <v>0</v>
      </c>
    </row>
    <row r="127" spans="1:9">
      <c r="A127" s="1031" t="s">
        <v>1178</v>
      </c>
      <c r="C127" s="1016">
        <v>1200</v>
      </c>
      <c r="D127" s="1030">
        <v>1.6499999999999773</v>
      </c>
      <c r="E127" s="1016" t="s">
        <v>4</v>
      </c>
      <c r="F127" s="1016">
        <v>1</v>
      </c>
      <c r="G127" s="1016" t="s">
        <v>16</v>
      </c>
      <c r="H127" s="1029">
        <v>0</v>
      </c>
      <c r="I127" s="1025">
        <f t="shared" si="3"/>
        <v>0</v>
      </c>
    </row>
    <row r="128" spans="1:9">
      <c r="A128" s="1031" t="s">
        <v>1177</v>
      </c>
      <c r="C128" s="1016">
        <v>1200</v>
      </c>
      <c r="D128" s="1030">
        <v>1.6500000000000057</v>
      </c>
      <c r="E128" s="1016" t="s">
        <v>4</v>
      </c>
      <c r="F128" s="1016">
        <v>1</v>
      </c>
      <c r="G128" s="1016" t="s">
        <v>16</v>
      </c>
      <c r="H128" s="1029">
        <v>0</v>
      </c>
      <c r="I128" s="1025">
        <f t="shared" si="3"/>
        <v>0</v>
      </c>
    </row>
    <row r="129" spans="1:9">
      <c r="A129" s="1031" t="s">
        <v>1176</v>
      </c>
      <c r="C129" s="1016">
        <v>1200</v>
      </c>
      <c r="D129" s="1030">
        <v>1.6500000000000057</v>
      </c>
      <c r="E129" s="1016" t="s">
        <v>4</v>
      </c>
      <c r="F129" s="1016">
        <v>1</v>
      </c>
      <c r="G129" s="1016" t="s">
        <v>16</v>
      </c>
      <c r="H129" s="1029">
        <v>0</v>
      </c>
      <c r="I129" s="1025">
        <f t="shared" si="3"/>
        <v>0</v>
      </c>
    </row>
    <row r="130" spans="1:9">
      <c r="A130" s="1031" t="s">
        <v>1175</v>
      </c>
      <c r="C130" s="1016">
        <v>1200</v>
      </c>
      <c r="D130" s="1030">
        <v>2.25</v>
      </c>
      <c r="E130" s="1016" t="s">
        <v>4</v>
      </c>
      <c r="F130" s="1016">
        <v>1</v>
      </c>
      <c r="G130" s="1016" t="s">
        <v>16</v>
      </c>
      <c r="H130" s="1029">
        <v>0</v>
      </c>
      <c r="I130" s="1025">
        <f t="shared" si="3"/>
        <v>0</v>
      </c>
    </row>
    <row r="131" spans="1:9">
      <c r="A131" s="1031" t="s">
        <v>1174</v>
      </c>
      <c r="C131" s="1016">
        <v>1200</v>
      </c>
      <c r="D131" s="1030">
        <v>1.6499999999999773</v>
      </c>
      <c r="E131" s="1016" t="s">
        <v>4</v>
      </c>
      <c r="F131" s="1016">
        <v>1</v>
      </c>
      <c r="G131" s="1016" t="s">
        <v>16</v>
      </c>
      <c r="H131" s="1029">
        <v>0</v>
      </c>
      <c r="I131" s="1025">
        <f t="shared" si="3"/>
        <v>0</v>
      </c>
    </row>
    <row r="132" spans="1:9">
      <c r="A132" s="1031" t="s">
        <v>1173</v>
      </c>
      <c r="C132" s="1016">
        <v>1200</v>
      </c>
      <c r="D132" s="1030">
        <v>1.7110000000000127</v>
      </c>
      <c r="E132" s="1016" t="s">
        <v>4</v>
      </c>
      <c r="F132" s="1016">
        <v>1</v>
      </c>
      <c r="G132" s="1016" t="s">
        <v>16</v>
      </c>
      <c r="H132" s="1029">
        <v>0</v>
      </c>
      <c r="I132" s="1025">
        <f t="shared" si="3"/>
        <v>0</v>
      </c>
    </row>
    <row r="133" spans="1:9">
      <c r="A133" s="1031" t="s">
        <v>1172</v>
      </c>
      <c r="C133" s="1016">
        <v>1200</v>
      </c>
      <c r="D133" s="1030">
        <v>1.9000000000000057</v>
      </c>
      <c r="E133" s="1016" t="s">
        <v>4</v>
      </c>
      <c r="F133" s="1016">
        <v>1</v>
      </c>
      <c r="G133" s="1016" t="s">
        <v>16</v>
      </c>
      <c r="H133" s="1029">
        <v>0</v>
      </c>
      <c r="I133" s="1025">
        <f t="shared" ref="I133:I164" si="4">SUM(F133*H133)</f>
        <v>0</v>
      </c>
    </row>
    <row r="134" spans="1:9">
      <c r="A134" s="1031" t="s">
        <v>1171</v>
      </c>
      <c r="C134" s="1016">
        <v>1200</v>
      </c>
      <c r="D134" s="1030">
        <v>1.8000000000000114</v>
      </c>
      <c r="E134" s="1016" t="s">
        <v>4</v>
      </c>
      <c r="F134" s="1016">
        <v>1</v>
      </c>
      <c r="G134" s="1016" t="s">
        <v>16</v>
      </c>
      <c r="H134" s="1029">
        <v>0</v>
      </c>
      <c r="I134" s="1025">
        <f t="shared" si="4"/>
        <v>0</v>
      </c>
    </row>
    <row r="135" spans="1:9">
      <c r="A135" s="1031" t="s">
        <v>1170</v>
      </c>
      <c r="C135" s="1016">
        <v>1200</v>
      </c>
      <c r="D135" s="1030">
        <v>1.9499999999999886</v>
      </c>
      <c r="E135" s="1016" t="s">
        <v>4</v>
      </c>
      <c r="F135" s="1016">
        <v>1</v>
      </c>
      <c r="G135" s="1016" t="s">
        <v>16</v>
      </c>
      <c r="H135" s="1029">
        <v>0</v>
      </c>
      <c r="I135" s="1025">
        <f t="shared" si="4"/>
        <v>0</v>
      </c>
    </row>
    <row r="136" spans="1:9">
      <c r="A136" s="1031" t="s">
        <v>1169</v>
      </c>
      <c r="C136" s="1016">
        <v>1200</v>
      </c>
      <c r="D136" s="1030">
        <v>1.9500000000000171</v>
      </c>
      <c r="E136" s="1016" t="s">
        <v>4</v>
      </c>
      <c r="F136" s="1016">
        <v>1</v>
      </c>
      <c r="G136" s="1016" t="s">
        <v>16</v>
      </c>
      <c r="H136" s="1029">
        <v>0</v>
      </c>
      <c r="I136" s="1025">
        <f t="shared" si="4"/>
        <v>0</v>
      </c>
    </row>
    <row r="137" spans="1:9">
      <c r="A137" s="1031" t="s">
        <v>1168</v>
      </c>
      <c r="C137" s="1016">
        <v>1200</v>
      </c>
      <c r="D137" s="1030">
        <v>2.3000000000000114</v>
      </c>
      <c r="E137" s="1016" t="s">
        <v>4</v>
      </c>
      <c r="F137" s="1016">
        <v>1</v>
      </c>
      <c r="G137" s="1016" t="s">
        <v>16</v>
      </c>
      <c r="H137" s="1029">
        <v>0</v>
      </c>
      <c r="I137" s="1025">
        <f t="shared" si="4"/>
        <v>0</v>
      </c>
    </row>
    <row r="138" spans="1:9">
      <c r="A138" s="1031" t="s">
        <v>1167</v>
      </c>
      <c r="C138" s="1016">
        <v>1200</v>
      </c>
      <c r="D138" s="1030">
        <v>2.0249999999999773</v>
      </c>
      <c r="E138" s="1016" t="s">
        <v>4</v>
      </c>
      <c r="F138" s="1016">
        <v>1</v>
      </c>
      <c r="G138" s="1016" t="s">
        <v>16</v>
      </c>
      <c r="H138" s="1029">
        <v>0</v>
      </c>
      <c r="I138" s="1025">
        <f t="shared" si="4"/>
        <v>0</v>
      </c>
    </row>
    <row r="139" spans="1:9">
      <c r="A139" s="1031" t="s">
        <v>1166</v>
      </c>
      <c r="C139" s="1016">
        <v>1200</v>
      </c>
      <c r="D139" s="1030">
        <v>1.6500000000000057</v>
      </c>
      <c r="E139" s="1016" t="s">
        <v>4</v>
      </c>
      <c r="F139" s="1016">
        <v>1</v>
      </c>
      <c r="G139" s="1016" t="s">
        <v>16</v>
      </c>
      <c r="H139" s="1029">
        <v>0</v>
      </c>
      <c r="I139" s="1025">
        <f t="shared" si="4"/>
        <v>0</v>
      </c>
    </row>
    <row r="140" spans="1:9">
      <c r="A140" s="1031" t="s">
        <v>1165</v>
      </c>
      <c r="C140" s="1016">
        <v>1200</v>
      </c>
      <c r="D140" s="1030">
        <v>1.6499999999999773</v>
      </c>
      <c r="E140" s="1016" t="s">
        <v>4</v>
      </c>
      <c r="F140" s="1016">
        <v>1</v>
      </c>
      <c r="G140" s="1016" t="s">
        <v>16</v>
      </c>
      <c r="H140" s="1029">
        <v>0</v>
      </c>
      <c r="I140" s="1025">
        <f t="shared" si="4"/>
        <v>0</v>
      </c>
    </row>
    <row r="141" spans="1:9">
      <c r="A141" s="1031" t="s">
        <v>1164</v>
      </c>
      <c r="C141" s="1016">
        <v>1200</v>
      </c>
      <c r="D141" s="1030">
        <v>2.4000000000000057</v>
      </c>
      <c r="E141" s="1016" t="s">
        <v>4</v>
      </c>
      <c r="F141" s="1016">
        <v>1</v>
      </c>
      <c r="G141" s="1016" t="s">
        <v>16</v>
      </c>
      <c r="H141" s="1029">
        <v>0</v>
      </c>
      <c r="I141" s="1025">
        <f t="shared" si="4"/>
        <v>0</v>
      </c>
    </row>
    <row r="142" spans="1:9">
      <c r="A142" s="1031" t="s">
        <v>1163</v>
      </c>
      <c r="C142" s="1016">
        <v>1200</v>
      </c>
      <c r="D142" s="1030">
        <v>2.4499999999999886</v>
      </c>
      <c r="E142" s="1016" t="s">
        <v>4</v>
      </c>
      <c r="F142" s="1016">
        <v>1</v>
      </c>
      <c r="G142" s="1016" t="s">
        <v>16</v>
      </c>
      <c r="H142" s="1029">
        <v>0</v>
      </c>
      <c r="I142" s="1025">
        <f t="shared" si="4"/>
        <v>0</v>
      </c>
    </row>
    <row r="143" spans="1:9">
      <c r="A143" s="1031" t="s">
        <v>1162</v>
      </c>
      <c r="C143" s="1016">
        <v>1200</v>
      </c>
      <c r="D143" s="1030">
        <v>2.5499999999999829</v>
      </c>
      <c r="E143" s="1016" t="s">
        <v>4</v>
      </c>
      <c r="F143" s="1016">
        <v>1</v>
      </c>
      <c r="G143" s="1016" t="s">
        <v>16</v>
      </c>
      <c r="H143" s="1029">
        <v>0</v>
      </c>
      <c r="I143" s="1025">
        <f t="shared" si="4"/>
        <v>0</v>
      </c>
    </row>
    <row r="144" spans="1:9">
      <c r="A144" s="1031" t="s">
        <v>1161</v>
      </c>
      <c r="C144" s="1016">
        <v>1200</v>
      </c>
      <c r="D144" s="1030">
        <v>1.4250000000000114</v>
      </c>
      <c r="E144" s="1016" t="s">
        <v>4</v>
      </c>
      <c r="F144" s="1016">
        <v>1</v>
      </c>
      <c r="G144" s="1016" t="s">
        <v>16</v>
      </c>
      <c r="H144" s="1029">
        <v>0</v>
      </c>
      <c r="I144" s="1025">
        <f t="shared" si="4"/>
        <v>0</v>
      </c>
    </row>
    <row r="145" spans="1:9">
      <c r="A145" s="1031" t="s">
        <v>1160</v>
      </c>
      <c r="C145" s="1016">
        <v>1200</v>
      </c>
      <c r="D145" s="1030">
        <v>1.6500000000000057</v>
      </c>
      <c r="E145" s="1016" t="s">
        <v>4</v>
      </c>
      <c r="F145" s="1016">
        <v>1</v>
      </c>
      <c r="G145" s="1016" t="s">
        <v>16</v>
      </c>
      <c r="H145" s="1029">
        <v>0</v>
      </c>
      <c r="I145" s="1025">
        <f t="shared" si="4"/>
        <v>0</v>
      </c>
    </row>
    <row r="146" spans="1:9">
      <c r="A146" s="1031" t="s">
        <v>1159</v>
      </c>
      <c r="C146" s="1016">
        <v>1200</v>
      </c>
      <c r="D146" s="1030">
        <v>1.6999999999999886</v>
      </c>
      <c r="E146" s="1016" t="s">
        <v>4</v>
      </c>
      <c r="F146" s="1016">
        <v>1</v>
      </c>
      <c r="G146" s="1016" t="s">
        <v>16</v>
      </c>
      <c r="H146" s="1029">
        <v>0</v>
      </c>
      <c r="I146" s="1025">
        <f t="shared" si="4"/>
        <v>0</v>
      </c>
    </row>
    <row r="147" spans="1:9">
      <c r="A147" s="1031" t="s">
        <v>1158</v>
      </c>
      <c r="C147" s="1016">
        <v>1200</v>
      </c>
      <c r="D147" s="1030">
        <v>2</v>
      </c>
      <c r="E147" s="1016" t="s">
        <v>4</v>
      </c>
      <c r="F147" s="1016">
        <v>1</v>
      </c>
      <c r="G147" s="1016" t="s">
        <v>16</v>
      </c>
      <c r="H147" s="1029">
        <v>0</v>
      </c>
      <c r="I147" s="1025">
        <f t="shared" si="4"/>
        <v>0</v>
      </c>
    </row>
    <row r="148" spans="1:9">
      <c r="A148" s="1031" t="s">
        <v>1157</v>
      </c>
      <c r="C148" s="1016">
        <v>1200</v>
      </c>
      <c r="D148" s="1030">
        <v>1.6999999999999886</v>
      </c>
      <c r="E148" s="1016" t="s">
        <v>4</v>
      </c>
      <c r="F148" s="1016">
        <v>1</v>
      </c>
      <c r="G148" s="1016" t="s">
        <v>16</v>
      </c>
      <c r="H148" s="1029">
        <v>0</v>
      </c>
      <c r="I148" s="1025">
        <f t="shared" si="4"/>
        <v>0</v>
      </c>
    </row>
    <row r="149" spans="1:9">
      <c r="A149" s="1031" t="s">
        <v>1156</v>
      </c>
      <c r="C149" s="1016">
        <v>1200</v>
      </c>
      <c r="D149" s="1030">
        <v>1.6999999999999886</v>
      </c>
      <c r="E149" s="1016" t="s">
        <v>4</v>
      </c>
      <c r="F149" s="1016">
        <v>1</v>
      </c>
      <c r="G149" s="1016" t="s">
        <v>16</v>
      </c>
      <c r="H149" s="1029">
        <v>0</v>
      </c>
      <c r="I149" s="1025">
        <f t="shared" si="4"/>
        <v>0</v>
      </c>
    </row>
    <row r="150" spans="1:9">
      <c r="A150" s="1031" t="s">
        <v>1155</v>
      </c>
      <c r="C150" s="1016">
        <v>1200</v>
      </c>
      <c r="D150" s="1030">
        <v>2.0019999999999811</v>
      </c>
      <c r="E150" s="1016" t="s">
        <v>4</v>
      </c>
      <c r="F150" s="1016">
        <v>1</v>
      </c>
      <c r="G150" s="1016" t="s">
        <v>16</v>
      </c>
      <c r="H150" s="1029">
        <v>0</v>
      </c>
      <c r="I150" s="1025">
        <f t="shared" si="4"/>
        <v>0</v>
      </c>
    </row>
    <row r="151" spans="1:9">
      <c r="A151" s="1031" t="s">
        <v>1154</v>
      </c>
      <c r="C151" s="1016">
        <v>1200</v>
      </c>
      <c r="D151" s="1030">
        <v>1.6500000000000057</v>
      </c>
      <c r="E151" s="1016" t="s">
        <v>4</v>
      </c>
      <c r="F151" s="1016">
        <v>1</v>
      </c>
      <c r="G151" s="1016" t="s">
        <v>16</v>
      </c>
      <c r="H151" s="1029">
        <v>0</v>
      </c>
      <c r="I151" s="1025">
        <f t="shared" si="4"/>
        <v>0</v>
      </c>
    </row>
    <row r="152" spans="1:9">
      <c r="A152" s="1031" t="s">
        <v>1153</v>
      </c>
      <c r="C152" s="1016">
        <v>1200</v>
      </c>
      <c r="D152" s="1030">
        <v>1.7250000000000227</v>
      </c>
      <c r="E152" s="1016" t="s">
        <v>4</v>
      </c>
      <c r="F152" s="1016">
        <v>1</v>
      </c>
      <c r="G152" s="1016" t="s">
        <v>16</v>
      </c>
      <c r="H152" s="1029">
        <v>0</v>
      </c>
      <c r="I152" s="1027">
        <f t="shared" si="4"/>
        <v>0</v>
      </c>
    </row>
    <row r="153" spans="1:9">
      <c r="A153" s="1031" t="s">
        <v>1152</v>
      </c>
      <c r="C153" s="1016">
        <v>1200</v>
      </c>
      <c r="D153" s="1030">
        <v>1.7249999999999943</v>
      </c>
      <c r="E153" s="1016" t="s">
        <v>4</v>
      </c>
      <c r="F153" s="1016">
        <v>1</v>
      </c>
      <c r="G153" s="1016" t="s">
        <v>16</v>
      </c>
      <c r="H153" s="1029">
        <v>0</v>
      </c>
      <c r="I153" s="1027">
        <f t="shared" si="4"/>
        <v>0</v>
      </c>
    </row>
    <row r="154" spans="1:9">
      <c r="A154" s="1031" t="s">
        <v>1151</v>
      </c>
      <c r="C154" s="1016">
        <v>1200</v>
      </c>
      <c r="D154" s="1030">
        <v>1.7249999999999943</v>
      </c>
      <c r="E154" s="1016" t="s">
        <v>4</v>
      </c>
      <c r="F154" s="1016">
        <v>1</v>
      </c>
      <c r="G154" s="1016" t="s">
        <v>16</v>
      </c>
      <c r="H154" s="1029">
        <v>0</v>
      </c>
      <c r="I154" s="1027">
        <f t="shared" si="4"/>
        <v>0</v>
      </c>
    </row>
    <row r="155" spans="1:9">
      <c r="A155" s="1031" t="s">
        <v>1150</v>
      </c>
      <c r="C155" s="1016">
        <v>1200</v>
      </c>
      <c r="D155" s="1030">
        <v>1.6500000000000057</v>
      </c>
      <c r="E155" s="1016" t="s">
        <v>4</v>
      </c>
      <c r="F155" s="1016">
        <v>1</v>
      </c>
      <c r="G155" s="1016" t="s">
        <v>16</v>
      </c>
      <c r="H155" s="1029">
        <v>0</v>
      </c>
      <c r="I155" s="1027">
        <f t="shared" si="4"/>
        <v>0</v>
      </c>
    </row>
    <row r="156" spans="1:9">
      <c r="A156" s="1031" t="s">
        <v>1149</v>
      </c>
      <c r="C156" s="1016">
        <v>1200</v>
      </c>
      <c r="D156" s="1030">
        <v>2.5</v>
      </c>
      <c r="E156" s="1016" t="s">
        <v>4</v>
      </c>
      <c r="F156" s="1016">
        <v>1</v>
      </c>
      <c r="G156" s="1016" t="s">
        <v>16</v>
      </c>
      <c r="H156" s="1029">
        <v>0</v>
      </c>
      <c r="I156" s="1027">
        <f t="shared" si="4"/>
        <v>0</v>
      </c>
    </row>
    <row r="157" spans="1:9">
      <c r="A157" s="1031" t="s">
        <v>1148</v>
      </c>
      <c r="C157" s="1016">
        <v>1200</v>
      </c>
      <c r="D157" s="1030">
        <v>1.9000000000000057</v>
      </c>
      <c r="E157" s="1016" t="s">
        <v>4</v>
      </c>
      <c r="F157" s="1016">
        <v>1</v>
      </c>
      <c r="G157" s="1016" t="s">
        <v>16</v>
      </c>
      <c r="H157" s="1029">
        <v>0</v>
      </c>
      <c r="I157" s="1027">
        <f t="shared" si="4"/>
        <v>0</v>
      </c>
    </row>
    <row r="158" spans="1:9">
      <c r="A158" s="1031" t="s">
        <v>1147</v>
      </c>
      <c r="C158" s="1016">
        <v>1200</v>
      </c>
      <c r="D158" s="1030">
        <v>1.75</v>
      </c>
      <c r="E158" s="1016" t="s">
        <v>4</v>
      </c>
      <c r="F158" s="1016">
        <v>1</v>
      </c>
      <c r="G158" s="1016" t="s">
        <v>16</v>
      </c>
      <c r="H158" s="1029">
        <v>0</v>
      </c>
      <c r="I158" s="1027">
        <f t="shared" si="4"/>
        <v>0</v>
      </c>
    </row>
    <row r="159" spans="1:9">
      <c r="A159" s="1031" t="s">
        <v>1146</v>
      </c>
      <c r="C159" s="1016">
        <v>1200</v>
      </c>
      <c r="D159" s="1030">
        <v>2.6500000000000057</v>
      </c>
      <c r="E159" s="1016" t="s">
        <v>4</v>
      </c>
      <c r="F159" s="1016">
        <v>1</v>
      </c>
      <c r="G159" s="1016" t="s">
        <v>16</v>
      </c>
      <c r="H159" s="1029">
        <v>0</v>
      </c>
      <c r="I159" s="1027">
        <f t="shared" si="4"/>
        <v>0</v>
      </c>
    </row>
    <row r="160" spans="1:9">
      <c r="A160" s="1031" t="s">
        <v>1145</v>
      </c>
      <c r="C160" s="1016">
        <v>1200</v>
      </c>
      <c r="D160" s="1030">
        <v>1.8000000000000114</v>
      </c>
      <c r="E160" s="1016" t="s">
        <v>4</v>
      </c>
      <c r="F160" s="1016">
        <v>1</v>
      </c>
      <c r="G160" s="1016" t="s">
        <v>16</v>
      </c>
      <c r="H160" s="1029">
        <v>0</v>
      </c>
      <c r="I160" s="1027">
        <f t="shared" si="4"/>
        <v>0</v>
      </c>
    </row>
    <row r="161" spans="1:9">
      <c r="A161" s="1031" t="s">
        <v>1144</v>
      </c>
      <c r="C161" s="1016">
        <v>1200</v>
      </c>
      <c r="D161" s="1030">
        <v>1.5500000000000114</v>
      </c>
      <c r="E161" s="1016" t="s">
        <v>4</v>
      </c>
      <c r="F161" s="1016">
        <v>1</v>
      </c>
      <c r="G161" s="1016" t="s">
        <v>16</v>
      </c>
      <c r="H161" s="1029">
        <v>0</v>
      </c>
      <c r="I161" s="1027">
        <f t="shared" si="4"/>
        <v>0</v>
      </c>
    </row>
    <row r="162" spans="1:9">
      <c r="A162" s="1031" t="s">
        <v>1143</v>
      </c>
      <c r="C162" s="1016">
        <v>1200</v>
      </c>
      <c r="D162" s="1030">
        <v>1.625</v>
      </c>
      <c r="E162" s="1016" t="s">
        <v>4</v>
      </c>
      <c r="F162" s="1016">
        <v>1</v>
      </c>
      <c r="G162" s="1016" t="s">
        <v>16</v>
      </c>
      <c r="H162" s="1029">
        <v>0</v>
      </c>
      <c r="I162" s="1027">
        <f t="shared" si="4"/>
        <v>0</v>
      </c>
    </row>
    <row r="163" spans="1:9">
      <c r="A163" s="1031" t="s">
        <v>1142</v>
      </c>
      <c r="C163" s="1016">
        <v>1200</v>
      </c>
      <c r="D163" s="1030">
        <v>1.625</v>
      </c>
      <c r="E163" s="1016" t="s">
        <v>4</v>
      </c>
      <c r="F163" s="1016">
        <v>1</v>
      </c>
      <c r="G163" s="1016" t="s">
        <v>16</v>
      </c>
      <c r="H163" s="1029">
        <v>0</v>
      </c>
      <c r="I163" s="1027">
        <f t="shared" si="4"/>
        <v>0</v>
      </c>
    </row>
    <row r="164" spans="1:9">
      <c r="A164" s="1031" t="s">
        <v>1141</v>
      </c>
      <c r="C164" s="1016">
        <v>1200</v>
      </c>
      <c r="D164" s="1030">
        <v>1.6999999999999886</v>
      </c>
      <c r="E164" s="1016" t="s">
        <v>4</v>
      </c>
      <c r="F164" s="1016">
        <v>1</v>
      </c>
      <c r="G164" s="1016" t="s">
        <v>16</v>
      </c>
      <c r="H164" s="1029">
        <v>0</v>
      </c>
      <c r="I164" s="1027">
        <f t="shared" si="4"/>
        <v>0</v>
      </c>
    </row>
    <row r="165" spans="1:9">
      <c r="A165" s="1031" t="s">
        <v>1140</v>
      </c>
      <c r="C165" s="1016">
        <v>1200</v>
      </c>
      <c r="D165" s="1030">
        <v>1.6999999999999886</v>
      </c>
      <c r="E165" s="1016" t="s">
        <v>4</v>
      </c>
      <c r="F165" s="1016">
        <v>1</v>
      </c>
      <c r="G165" s="1016" t="s">
        <v>16</v>
      </c>
      <c r="H165" s="1029">
        <v>0</v>
      </c>
      <c r="I165" s="1027">
        <f t="shared" ref="I165:I196" si="5">SUM(F165*H165)</f>
        <v>0</v>
      </c>
    </row>
    <row r="166" spans="1:9">
      <c r="A166" s="1031" t="s">
        <v>1139</v>
      </c>
      <c r="C166" s="1016">
        <v>1200</v>
      </c>
      <c r="D166" s="1030">
        <v>1.7750000000000057</v>
      </c>
      <c r="E166" s="1016" t="s">
        <v>4</v>
      </c>
      <c r="F166" s="1016">
        <v>1</v>
      </c>
      <c r="G166" s="1016" t="s">
        <v>16</v>
      </c>
      <c r="H166" s="1029">
        <v>0</v>
      </c>
      <c r="I166" s="1027">
        <f t="shared" si="5"/>
        <v>0</v>
      </c>
    </row>
    <row r="167" spans="1:9">
      <c r="A167" s="1031" t="s">
        <v>1138</v>
      </c>
      <c r="C167" s="1016">
        <v>1200</v>
      </c>
      <c r="D167" s="1030">
        <v>1.7000000000000171</v>
      </c>
      <c r="E167" s="1016" t="s">
        <v>4</v>
      </c>
      <c r="F167" s="1016">
        <v>1</v>
      </c>
      <c r="G167" s="1016" t="s">
        <v>16</v>
      </c>
      <c r="H167" s="1029">
        <v>0</v>
      </c>
      <c r="I167" s="1027">
        <f t="shared" si="5"/>
        <v>0</v>
      </c>
    </row>
    <row r="168" spans="1:9">
      <c r="A168" s="1031" t="s">
        <v>1137</v>
      </c>
      <c r="C168" s="1016">
        <v>1200</v>
      </c>
      <c r="D168" s="1030">
        <v>1.7300000000000182</v>
      </c>
      <c r="E168" s="1016" t="s">
        <v>4</v>
      </c>
      <c r="F168" s="1016">
        <v>1</v>
      </c>
      <c r="G168" s="1016" t="s">
        <v>16</v>
      </c>
      <c r="H168" s="1029">
        <v>0</v>
      </c>
      <c r="I168" s="1027">
        <f t="shared" si="5"/>
        <v>0</v>
      </c>
    </row>
    <row r="169" spans="1:9">
      <c r="A169" s="1031" t="s">
        <v>1136</v>
      </c>
      <c r="C169" s="1016">
        <v>1200</v>
      </c>
      <c r="D169" s="1030">
        <v>1.6500000000000057</v>
      </c>
      <c r="E169" s="1016" t="s">
        <v>4</v>
      </c>
      <c r="F169" s="1016">
        <v>1</v>
      </c>
      <c r="G169" s="1016" t="s">
        <v>16</v>
      </c>
      <c r="H169" s="1029">
        <v>0</v>
      </c>
      <c r="I169" s="1027">
        <f t="shared" si="5"/>
        <v>0</v>
      </c>
    </row>
    <row r="170" spans="1:9">
      <c r="A170" s="1031" t="s">
        <v>1135</v>
      </c>
      <c r="C170" s="1016">
        <v>1200</v>
      </c>
      <c r="D170" s="1030">
        <v>1.6500000000000057</v>
      </c>
      <c r="E170" s="1016" t="s">
        <v>4</v>
      </c>
      <c r="F170" s="1016">
        <v>1</v>
      </c>
      <c r="G170" s="1016" t="s">
        <v>16</v>
      </c>
      <c r="H170" s="1029">
        <v>0</v>
      </c>
      <c r="I170" s="1027">
        <f t="shared" si="5"/>
        <v>0</v>
      </c>
    </row>
    <row r="171" spans="1:9">
      <c r="A171" s="1031" t="s">
        <v>1134</v>
      </c>
      <c r="C171" s="1016">
        <v>1200</v>
      </c>
      <c r="D171" s="1030">
        <v>1.6500000000000057</v>
      </c>
      <c r="E171" s="1016" t="s">
        <v>4</v>
      </c>
      <c r="F171" s="1016">
        <v>1</v>
      </c>
      <c r="G171" s="1016" t="s">
        <v>16</v>
      </c>
      <c r="H171" s="1029">
        <v>0</v>
      </c>
      <c r="I171" s="1027">
        <f t="shared" si="5"/>
        <v>0</v>
      </c>
    </row>
    <row r="172" spans="1:9">
      <c r="A172" s="1031" t="s">
        <v>1133</v>
      </c>
      <c r="C172" s="1016">
        <v>1200</v>
      </c>
      <c r="D172" s="1030">
        <v>1.6500000000000057</v>
      </c>
      <c r="E172" s="1016" t="s">
        <v>4</v>
      </c>
      <c r="F172" s="1016">
        <v>1</v>
      </c>
      <c r="G172" s="1016" t="s">
        <v>16</v>
      </c>
      <c r="H172" s="1029">
        <v>0</v>
      </c>
      <c r="I172" s="1027">
        <f t="shared" si="5"/>
        <v>0</v>
      </c>
    </row>
    <row r="173" spans="1:9">
      <c r="A173" s="1031" t="s">
        <v>1132</v>
      </c>
      <c r="C173" s="1016">
        <v>1200</v>
      </c>
      <c r="D173" s="1030">
        <v>1.8499999999999943</v>
      </c>
      <c r="E173" s="1016" t="s">
        <v>4</v>
      </c>
      <c r="F173" s="1016">
        <v>1</v>
      </c>
      <c r="G173" s="1016" t="s">
        <v>16</v>
      </c>
      <c r="H173" s="1029">
        <v>0</v>
      </c>
      <c r="I173" s="1027">
        <f t="shared" si="5"/>
        <v>0</v>
      </c>
    </row>
    <row r="174" spans="1:9">
      <c r="A174" s="1031" t="s">
        <v>1131</v>
      </c>
      <c r="C174" s="1016">
        <v>1200</v>
      </c>
      <c r="D174" s="1030">
        <v>1.6500000000000057</v>
      </c>
      <c r="E174" s="1016" t="s">
        <v>4</v>
      </c>
      <c r="F174" s="1016">
        <v>1</v>
      </c>
      <c r="G174" s="1016" t="s">
        <v>16</v>
      </c>
      <c r="H174" s="1029">
        <v>0</v>
      </c>
      <c r="I174" s="1027">
        <f t="shared" si="5"/>
        <v>0</v>
      </c>
    </row>
    <row r="175" spans="1:9">
      <c r="A175" s="1031" t="s">
        <v>1130</v>
      </c>
      <c r="C175" s="1016">
        <v>1200</v>
      </c>
      <c r="D175" s="1030">
        <v>1.9500000000000171</v>
      </c>
      <c r="E175" s="1016" t="s">
        <v>4</v>
      </c>
      <c r="F175" s="1016">
        <v>1</v>
      </c>
      <c r="G175" s="1016" t="s">
        <v>16</v>
      </c>
      <c r="H175" s="1029">
        <v>0</v>
      </c>
      <c r="I175" s="1027">
        <f t="shared" si="5"/>
        <v>0</v>
      </c>
    </row>
    <row r="176" spans="1:9">
      <c r="A176" s="1031" t="s">
        <v>1129</v>
      </c>
      <c r="C176" s="1016">
        <v>1200</v>
      </c>
      <c r="D176" s="1030">
        <v>1.9500000000000171</v>
      </c>
      <c r="E176" s="1016" t="s">
        <v>4</v>
      </c>
      <c r="F176" s="1016">
        <v>1</v>
      </c>
      <c r="G176" s="1016" t="s">
        <v>16</v>
      </c>
      <c r="H176" s="1029">
        <v>0</v>
      </c>
      <c r="I176" s="1027">
        <f t="shared" si="5"/>
        <v>0</v>
      </c>
    </row>
    <row r="177" spans="1:9">
      <c r="A177" s="1031" t="s">
        <v>1128</v>
      </c>
      <c r="C177" s="1016">
        <v>1200</v>
      </c>
      <c r="D177" s="1030">
        <v>1.8250000000000171</v>
      </c>
      <c r="E177" s="1016" t="s">
        <v>4</v>
      </c>
      <c r="F177" s="1016">
        <v>1</v>
      </c>
      <c r="G177" s="1016" t="s">
        <v>16</v>
      </c>
      <c r="H177" s="1029">
        <v>0</v>
      </c>
      <c r="I177" s="1027">
        <f t="shared" si="5"/>
        <v>0</v>
      </c>
    </row>
    <row r="178" spans="1:9">
      <c r="A178" s="1031" t="s">
        <v>1127</v>
      </c>
      <c r="C178" s="1016">
        <v>1200</v>
      </c>
      <c r="D178" s="1030">
        <v>1.6500000000000057</v>
      </c>
      <c r="E178" s="1016" t="s">
        <v>4</v>
      </c>
      <c r="F178" s="1016">
        <v>1</v>
      </c>
      <c r="G178" s="1016" t="s">
        <v>16</v>
      </c>
      <c r="H178" s="1029">
        <v>0</v>
      </c>
      <c r="I178" s="1027">
        <f t="shared" si="5"/>
        <v>0</v>
      </c>
    </row>
    <row r="179" spans="1:9">
      <c r="A179" s="1031" t="s">
        <v>1126</v>
      </c>
      <c r="C179" s="1016">
        <v>1200</v>
      </c>
      <c r="D179" s="1030">
        <v>1.4250000000000114</v>
      </c>
      <c r="E179" s="1016" t="s">
        <v>4</v>
      </c>
      <c r="F179" s="1016">
        <v>1</v>
      </c>
      <c r="G179" s="1016" t="s">
        <v>16</v>
      </c>
      <c r="H179" s="1029">
        <v>0</v>
      </c>
      <c r="I179" s="1027">
        <f t="shared" si="5"/>
        <v>0</v>
      </c>
    </row>
    <row r="180" spans="1:9">
      <c r="A180" s="1031" t="s">
        <v>1125</v>
      </c>
      <c r="C180" s="1016">
        <v>1200</v>
      </c>
      <c r="D180" s="1030">
        <v>1.6500000000000057</v>
      </c>
      <c r="E180" s="1016" t="s">
        <v>4</v>
      </c>
      <c r="F180" s="1016">
        <v>1</v>
      </c>
      <c r="G180" s="1016" t="s">
        <v>16</v>
      </c>
      <c r="H180" s="1029">
        <v>0</v>
      </c>
      <c r="I180" s="1027">
        <f t="shared" si="5"/>
        <v>0</v>
      </c>
    </row>
    <row r="181" spans="1:9">
      <c r="A181" s="1031" t="s">
        <v>1124</v>
      </c>
      <c r="C181" s="1016">
        <v>1200</v>
      </c>
      <c r="D181" s="1030">
        <v>2.4000000000000057</v>
      </c>
      <c r="E181" s="1016" t="s">
        <v>4</v>
      </c>
      <c r="F181" s="1016">
        <v>1</v>
      </c>
      <c r="G181" s="1016" t="s">
        <v>16</v>
      </c>
      <c r="H181" s="1029">
        <v>0</v>
      </c>
      <c r="I181" s="1027">
        <f t="shared" si="5"/>
        <v>0</v>
      </c>
    </row>
    <row r="182" spans="1:9">
      <c r="A182" s="1031" t="s">
        <v>1123</v>
      </c>
      <c r="C182" s="1016">
        <v>1200</v>
      </c>
      <c r="D182" s="1030">
        <v>1.8499999999999943</v>
      </c>
      <c r="E182" s="1016" t="s">
        <v>4</v>
      </c>
      <c r="F182" s="1016">
        <v>1</v>
      </c>
      <c r="G182" s="1016" t="s">
        <v>16</v>
      </c>
      <c r="H182" s="1029">
        <v>0</v>
      </c>
      <c r="I182" s="1027">
        <f t="shared" si="5"/>
        <v>0</v>
      </c>
    </row>
    <row r="183" spans="1:9">
      <c r="A183" s="1031" t="s">
        <v>1122</v>
      </c>
      <c r="C183" s="1016">
        <v>1200</v>
      </c>
      <c r="D183" s="1030">
        <v>2.6500000000000057</v>
      </c>
      <c r="E183" s="1016" t="s">
        <v>4</v>
      </c>
      <c r="F183" s="1016">
        <v>1</v>
      </c>
      <c r="G183" s="1016" t="s">
        <v>16</v>
      </c>
      <c r="H183" s="1029">
        <v>0</v>
      </c>
      <c r="I183" s="1027">
        <f t="shared" si="5"/>
        <v>0</v>
      </c>
    </row>
    <row r="184" spans="1:9">
      <c r="A184" s="1017"/>
      <c r="C184" s="1016"/>
      <c r="D184" s="1016"/>
      <c r="E184" s="1016"/>
      <c r="F184" s="1016"/>
      <c r="G184" s="1016"/>
      <c r="H184" s="1016"/>
      <c r="I184" s="1021"/>
    </row>
    <row r="185" spans="1:9" ht="13" thickBot="1">
      <c r="A185" s="1017"/>
      <c r="C185" s="1016"/>
      <c r="D185" s="1016"/>
      <c r="E185" s="1016"/>
      <c r="F185" s="1016"/>
      <c r="G185" s="1016"/>
      <c r="H185" s="1016"/>
      <c r="I185" s="1024">
        <f>SUM(I101:I184)</f>
        <v>0</v>
      </c>
    </row>
    <row r="186" spans="1:9" ht="13" thickTop="1">
      <c r="A186" s="1017"/>
      <c r="C186" s="1016"/>
      <c r="D186" s="1016"/>
      <c r="E186" s="1016"/>
      <c r="F186" s="1016"/>
      <c r="G186" s="1016"/>
      <c r="H186" s="1016"/>
      <c r="I186" s="1021"/>
    </row>
    <row r="187" spans="1:9">
      <c r="A187" s="1017"/>
      <c r="C187" s="1016"/>
      <c r="D187" s="1016"/>
      <c r="E187" s="1016"/>
      <c r="F187" s="1016"/>
      <c r="G187" s="1016"/>
      <c r="H187" s="1016"/>
      <c r="I187" s="1021"/>
    </row>
    <row r="188" spans="1:9">
      <c r="A188" s="1028" t="s">
        <v>1121</v>
      </c>
      <c r="C188" s="1016"/>
      <c r="D188" s="1016"/>
      <c r="E188" s="1016"/>
      <c r="F188" s="1016"/>
      <c r="G188" s="1016"/>
      <c r="H188" s="1016"/>
      <c r="I188" s="1021"/>
    </row>
    <row r="189" spans="1:9">
      <c r="A189" s="1017"/>
      <c r="C189" s="1016"/>
      <c r="D189" s="1016"/>
      <c r="E189" s="1016"/>
      <c r="F189" s="1016"/>
      <c r="G189" s="1016"/>
      <c r="H189" s="1016"/>
      <c r="I189" s="1021"/>
    </row>
    <row r="190" spans="1:9">
      <c r="A190" s="1017" t="s">
        <v>1120</v>
      </c>
      <c r="C190" s="1016"/>
      <c r="D190" s="1016"/>
      <c r="E190" s="1016"/>
      <c r="F190" s="1016">
        <v>82</v>
      </c>
      <c r="G190" s="1016" t="s">
        <v>16</v>
      </c>
      <c r="H190" s="1026">
        <v>0</v>
      </c>
      <c r="I190" s="1025">
        <f>SUM(F190*H190)</f>
        <v>0</v>
      </c>
    </row>
    <row r="191" spans="1:9">
      <c r="A191" s="1017" t="s">
        <v>1119</v>
      </c>
      <c r="C191" s="1016"/>
      <c r="D191" s="1016"/>
      <c r="E191" s="1016"/>
      <c r="F191" s="1016">
        <v>20</v>
      </c>
      <c r="G191" s="1016" t="s">
        <v>4</v>
      </c>
      <c r="H191" s="1026">
        <v>0</v>
      </c>
      <c r="I191" s="1025">
        <f>SUM(F191*H191)</f>
        <v>0</v>
      </c>
    </row>
    <row r="192" spans="1:9">
      <c r="A192" s="1017"/>
      <c r="C192" s="1016"/>
      <c r="D192" s="1016"/>
      <c r="E192" s="1016"/>
      <c r="F192" s="1016"/>
      <c r="G192" s="1016"/>
      <c r="H192" s="1016"/>
      <c r="I192" s="1021"/>
    </row>
    <row r="193" spans="1:9" ht="13" thickBot="1">
      <c r="A193" s="1017"/>
      <c r="C193" s="1016"/>
      <c r="D193" s="1016"/>
      <c r="E193" s="1016"/>
      <c r="F193" s="1016"/>
      <c r="G193" s="1016"/>
      <c r="H193" s="1016"/>
      <c r="I193" s="1024">
        <f>SUM(I189:I192)</f>
        <v>0</v>
      </c>
    </row>
    <row r="194" spans="1:9" ht="13" thickTop="1">
      <c r="A194" s="1017"/>
      <c r="C194" s="1016"/>
      <c r="D194" s="1016"/>
      <c r="E194" s="1016"/>
      <c r="F194" s="1016"/>
      <c r="G194" s="1016"/>
      <c r="H194" s="1016"/>
      <c r="I194" s="1021"/>
    </row>
    <row r="195" spans="1:9">
      <c r="A195" s="1017"/>
      <c r="C195" s="1016"/>
      <c r="D195" s="1016"/>
      <c r="E195" s="1016"/>
      <c r="F195" s="1016"/>
      <c r="G195" s="1016"/>
      <c r="H195" s="1016"/>
      <c r="I195" s="1021"/>
    </row>
    <row r="196" spans="1:9">
      <c r="A196" s="1028" t="s">
        <v>1118</v>
      </c>
      <c r="C196" s="1016"/>
      <c r="D196" s="1016"/>
      <c r="E196" s="1016"/>
      <c r="F196" s="1016"/>
      <c r="G196" s="1016"/>
      <c r="H196" s="1016"/>
      <c r="I196" s="1021"/>
    </row>
    <row r="197" spans="1:9">
      <c r="A197" s="1017"/>
      <c r="C197" s="1016"/>
      <c r="D197" s="1016"/>
      <c r="E197" s="1016"/>
      <c r="F197" s="1016"/>
      <c r="G197" s="1016"/>
      <c r="H197" s="1016"/>
      <c r="I197" s="1021"/>
    </row>
    <row r="198" spans="1:9">
      <c r="A198" s="1017"/>
      <c r="C198" s="1016"/>
      <c r="D198" s="1016"/>
      <c r="E198" s="1016"/>
      <c r="F198" s="1016"/>
      <c r="G198" s="1016"/>
      <c r="H198" s="1026"/>
      <c r="I198" s="1027"/>
    </row>
    <row r="199" spans="1:9">
      <c r="A199" s="1017" t="s">
        <v>1117</v>
      </c>
      <c r="C199" s="1016"/>
      <c r="D199" s="1016"/>
      <c r="E199" s="1016"/>
      <c r="F199" s="1016">
        <v>2</v>
      </c>
      <c r="G199" s="1016" t="s">
        <v>16</v>
      </c>
      <c r="H199" s="1026">
        <v>0</v>
      </c>
      <c r="I199" s="1027">
        <f>SUM(F199*H199)</f>
        <v>0</v>
      </c>
    </row>
    <row r="200" spans="1:9">
      <c r="A200" s="1017"/>
      <c r="C200" s="1016"/>
      <c r="D200" s="1016"/>
      <c r="E200" s="1016"/>
      <c r="F200" s="1016"/>
      <c r="G200" s="1016"/>
      <c r="H200" s="1026"/>
      <c r="I200" s="1027"/>
    </row>
    <row r="201" spans="1:9">
      <c r="A201" s="1017" t="s">
        <v>1116</v>
      </c>
      <c r="C201" s="1016"/>
      <c r="D201" s="1016"/>
      <c r="E201" s="1016"/>
      <c r="F201" s="1016">
        <v>2</v>
      </c>
      <c r="G201" s="1016" t="s">
        <v>16</v>
      </c>
      <c r="H201" s="1026">
        <v>0</v>
      </c>
      <c r="I201" s="1027">
        <f t="shared" ref="I201:I223" si="6">SUM(F201*H201)</f>
        <v>0</v>
      </c>
    </row>
    <row r="202" spans="1:9">
      <c r="A202" s="1017" t="s">
        <v>1115</v>
      </c>
      <c r="C202" s="1016"/>
      <c r="D202" s="1016"/>
      <c r="E202" s="1016"/>
      <c r="F202" s="1016">
        <v>2</v>
      </c>
      <c r="G202" s="1016" t="s">
        <v>16</v>
      </c>
      <c r="H202" s="1026">
        <v>0</v>
      </c>
      <c r="I202" s="1027">
        <f t="shared" si="6"/>
        <v>0</v>
      </c>
    </row>
    <row r="203" spans="1:9">
      <c r="A203" s="1017" t="s">
        <v>1114</v>
      </c>
      <c r="C203" s="1016"/>
      <c r="D203" s="1016"/>
      <c r="E203" s="1016"/>
      <c r="F203" s="1016">
        <v>2</v>
      </c>
      <c r="G203" s="1016" t="s">
        <v>16</v>
      </c>
      <c r="H203" s="1026">
        <v>0</v>
      </c>
      <c r="I203" s="1027">
        <f t="shared" si="6"/>
        <v>0</v>
      </c>
    </row>
    <row r="204" spans="1:9">
      <c r="A204" s="1017" t="s">
        <v>1113</v>
      </c>
      <c r="C204" s="1016"/>
      <c r="D204" s="1016"/>
      <c r="E204" s="1016"/>
      <c r="F204" s="1016">
        <v>1503.175829735756</v>
      </c>
      <c r="G204" s="1016" t="s">
        <v>885</v>
      </c>
      <c r="H204" s="1026">
        <v>0</v>
      </c>
      <c r="I204" s="1027">
        <f t="shared" si="6"/>
        <v>0</v>
      </c>
    </row>
    <row r="205" spans="1:9">
      <c r="A205" s="1017" t="s">
        <v>1112</v>
      </c>
      <c r="C205" s="1016"/>
      <c r="D205" s="1016"/>
      <c r="E205" s="1016"/>
      <c r="F205" s="1016">
        <v>2</v>
      </c>
      <c r="G205" s="1016" t="s">
        <v>16</v>
      </c>
      <c r="H205" s="1026">
        <v>0</v>
      </c>
      <c r="I205" s="1027">
        <f t="shared" si="6"/>
        <v>0</v>
      </c>
    </row>
    <row r="206" spans="1:9">
      <c r="A206" s="1017" t="s">
        <v>1111</v>
      </c>
      <c r="C206" s="1016"/>
      <c r="D206" s="1016"/>
      <c r="E206" s="1016"/>
      <c r="F206" s="1016">
        <v>16</v>
      </c>
      <c r="G206" s="1016" t="s">
        <v>16</v>
      </c>
      <c r="H206" s="1026">
        <v>0</v>
      </c>
      <c r="I206" s="1027">
        <f t="shared" si="6"/>
        <v>0</v>
      </c>
    </row>
    <row r="207" spans="1:9">
      <c r="A207" s="1017" t="s">
        <v>1110</v>
      </c>
      <c r="C207" s="1016"/>
      <c r="D207" s="1016"/>
      <c r="E207" s="1016"/>
      <c r="F207" s="1016">
        <v>2</v>
      </c>
      <c r="G207" s="1016" t="s">
        <v>16</v>
      </c>
      <c r="H207" s="1026">
        <v>0</v>
      </c>
      <c r="I207" s="1027">
        <f t="shared" si="6"/>
        <v>0</v>
      </c>
    </row>
    <row r="208" spans="1:9">
      <c r="A208" s="1017" t="s">
        <v>1100</v>
      </c>
      <c r="C208" s="1016"/>
      <c r="D208" s="1016"/>
      <c r="E208" s="1016"/>
      <c r="F208" s="1016">
        <v>2</v>
      </c>
      <c r="G208" s="1016" t="s">
        <v>16</v>
      </c>
      <c r="H208" s="1026">
        <v>0</v>
      </c>
      <c r="I208" s="1027">
        <f t="shared" si="6"/>
        <v>0</v>
      </c>
    </row>
    <row r="209" spans="1:9">
      <c r="A209" s="1017" t="s">
        <v>1109</v>
      </c>
      <c r="C209" s="1016"/>
      <c r="D209" s="1016"/>
      <c r="E209" s="1016"/>
      <c r="F209" s="1016">
        <v>2</v>
      </c>
      <c r="G209" s="1016" t="s">
        <v>16</v>
      </c>
      <c r="H209" s="1026">
        <v>0</v>
      </c>
      <c r="I209" s="1027">
        <f t="shared" si="6"/>
        <v>0</v>
      </c>
    </row>
    <row r="210" spans="1:9">
      <c r="A210" s="1017" t="s">
        <v>1108</v>
      </c>
      <c r="C210" s="1016"/>
      <c r="D210" s="1016"/>
      <c r="E210" s="1016"/>
      <c r="F210" s="1016">
        <v>2</v>
      </c>
      <c r="G210" s="1016" t="s">
        <v>16</v>
      </c>
      <c r="H210" s="1026">
        <v>0</v>
      </c>
      <c r="I210" s="1027">
        <f t="shared" si="6"/>
        <v>0</v>
      </c>
    </row>
    <row r="211" spans="1:9">
      <c r="A211" s="1017" t="s">
        <v>1107</v>
      </c>
      <c r="C211" s="1016"/>
      <c r="D211" s="1016"/>
      <c r="E211" s="1016"/>
      <c r="F211" s="1016">
        <v>2</v>
      </c>
      <c r="G211" s="1016" t="s">
        <v>16</v>
      </c>
      <c r="H211" s="1026">
        <v>0</v>
      </c>
      <c r="I211" s="1027">
        <f t="shared" si="6"/>
        <v>0</v>
      </c>
    </row>
    <row r="212" spans="1:9">
      <c r="A212" s="1017" t="s">
        <v>1106</v>
      </c>
      <c r="C212" s="1016"/>
      <c r="D212" s="1016"/>
      <c r="E212" s="1016"/>
      <c r="F212" s="1016">
        <v>2</v>
      </c>
      <c r="G212" s="1016" t="s">
        <v>16</v>
      </c>
      <c r="H212" s="1026">
        <v>0</v>
      </c>
      <c r="I212" s="1025">
        <f t="shared" si="6"/>
        <v>0</v>
      </c>
    </row>
    <row r="213" spans="1:9">
      <c r="A213" s="1017" t="s">
        <v>1105</v>
      </c>
      <c r="C213" s="1016"/>
      <c r="D213" s="1016"/>
      <c r="E213" s="1016"/>
      <c r="F213" s="1016">
        <v>2</v>
      </c>
      <c r="G213" s="1016" t="s">
        <v>16</v>
      </c>
      <c r="H213" s="1026">
        <v>0</v>
      </c>
      <c r="I213" s="1025">
        <f t="shared" si="6"/>
        <v>0</v>
      </c>
    </row>
    <row r="214" spans="1:9">
      <c r="A214" s="1017" t="s">
        <v>1104</v>
      </c>
      <c r="C214" s="1016"/>
      <c r="D214" s="1016"/>
      <c r="E214" s="1016"/>
      <c r="F214" s="1016">
        <v>2</v>
      </c>
      <c r="G214" s="1016" t="s">
        <v>16</v>
      </c>
      <c r="H214" s="1026">
        <v>0</v>
      </c>
      <c r="I214" s="1025">
        <f t="shared" si="6"/>
        <v>0</v>
      </c>
    </row>
    <row r="215" spans="1:9">
      <c r="A215" s="1017" t="s">
        <v>1103</v>
      </c>
      <c r="C215" s="1016"/>
      <c r="D215" s="1016"/>
      <c r="E215" s="1016"/>
      <c r="F215" s="1016">
        <v>2</v>
      </c>
      <c r="G215" s="1016" t="s">
        <v>16</v>
      </c>
      <c r="H215" s="1026">
        <v>0</v>
      </c>
      <c r="I215" s="1025">
        <f t="shared" si="6"/>
        <v>0</v>
      </c>
    </row>
    <row r="216" spans="1:9">
      <c r="A216" s="1017" t="s">
        <v>1102</v>
      </c>
      <c r="C216" s="1016"/>
      <c r="D216" s="1016"/>
      <c r="E216" s="1016"/>
      <c r="F216" s="1016">
        <v>2</v>
      </c>
      <c r="G216" s="1016" t="s">
        <v>16</v>
      </c>
      <c r="H216" s="1026">
        <v>0</v>
      </c>
      <c r="I216" s="1025">
        <f t="shared" si="6"/>
        <v>0</v>
      </c>
    </row>
    <row r="217" spans="1:9">
      <c r="A217" s="1017" t="s">
        <v>1101</v>
      </c>
      <c r="C217" s="1016"/>
      <c r="D217" s="1016"/>
      <c r="E217" s="1016"/>
      <c r="F217" s="1016">
        <v>2</v>
      </c>
      <c r="G217" s="1016" t="s">
        <v>16</v>
      </c>
      <c r="H217" s="1026">
        <v>0</v>
      </c>
      <c r="I217" s="1025">
        <f t="shared" si="6"/>
        <v>0</v>
      </c>
    </row>
    <row r="218" spans="1:9">
      <c r="A218" s="1017" t="s">
        <v>1100</v>
      </c>
      <c r="C218" s="1016"/>
      <c r="D218" s="1016"/>
      <c r="E218" s="1016"/>
      <c r="F218" s="1016">
        <v>2</v>
      </c>
      <c r="G218" s="1016" t="s">
        <v>16</v>
      </c>
      <c r="H218" s="1026">
        <v>0</v>
      </c>
      <c r="I218" s="1025">
        <f t="shared" si="6"/>
        <v>0</v>
      </c>
    </row>
    <row r="219" spans="1:9">
      <c r="A219" s="1017" t="s">
        <v>1099</v>
      </c>
      <c r="C219" s="1016"/>
      <c r="D219" s="1016"/>
      <c r="E219" s="1016"/>
      <c r="F219" s="1016">
        <v>831.26999999999987</v>
      </c>
      <c r="G219" s="1016" t="s">
        <v>18</v>
      </c>
      <c r="H219" s="1026">
        <v>0</v>
      </c>
      <c r="I219" s="1025">
        <f t="shared" si="6"/>
        <v>0</v>
      </c>
    </row>
    <row r="220" spans="1:9">
      <c r="A220" s="1017" t="s">
        <v>1098</v>
      </c>
      <c r="C220" s="1016"/>
      <c r="D220" s="1016"/>
      <c r="E220" s="1016"/>
      <c r="F220" s="1016">
        <v>181.5</v>
      </c>
      <c r="G220" s="1016" t="s">
        <v>1097</v>
      </c>
      <c r="H220" s="1026">
        <v>0</v>
      </c>
      <c r="I220" s="1025">
        <f t="shared" si="6"/>
        <v>0</v>
      </c>
    </row>
    <row r="221" spans="1:9">
      <c r="A221" s="1017" t="s">
        <v>1096</v>
      </c>
      <c r="C221" s="1016"/>
      <c r="D221" s="1016"/>
      <c r="E221" s="1016"/>
      <c r="F221" s="1016">
        <v>2</v>
      </c>
      <c r="G221" s="1016" t="s">
        <v>1093</v>
      </c>
      <c r="H221" s="1026">
        <v>0</v>
      </c>
      <c r="I221" s="1025">
        <f t="shared" si="6"/>
        <v>0</v>
      </c>
    </row>
    <row r="222" spans="1:9">
      <c r="A222" s="1017" t="s">
        <v>1095</v>
      </c>
      <c r="C222" s="1016"/>
      <c r="D222" s="1016"/>
      <c r="E222" s="1016"/>
      <c r="F222" s="1016">
        <v>2</v>
      </c>
      <c r="G222" s="1016" t="s">
        <v>1093</v>
      </c>
      <c r="H222" s="1026">
        <v>0</v>
      </c>
      <c r="I222" s="1025">
        <f t="shared" si="6"/>
        <v>0</v>
      </c>
    </row>
    <row r="223" spans="1:9">
      <c r="A223" s="1017" t="s">
        <v>1094</v>
      </c>
      <c r="C223" s="1016"/>
      <c r="D223" s="1016"/>
      <c r="E223" s="1016"/>
      <c r="F223" s="1016">
        <v>2</v>
      </c>
      <c r="G223" s="1016" t="s">
        <v>1093</v>
      </c>
      <c r="H223" s="1026">
        <v>0</v>
      </c>
      <c r="I223" s="1025">
        <f t="shared" si="6"/>
        <v>0</v>
      </c>
    </row>
    <row r="224" spans="1:9">
      <c r="A224" s="1017"/>
      <c r="C224" s="1016"/>
      <c r="D224" s="1016"/>
      <c r="E224" s="1016"/>
      <c r="F224" s="1016"/>
      <c r="G224" s="1016"/>
      <c r="H224" s="1016"/>
      <c r="I224" s="1025"/>
    </row>
    <row r="225" spans="1:9" ht="13" thickBot="1">
      <c r="A225" s="1017"/>
      <c r="C225" s="1016"/>
      <c r="D225" s="1016"/>
      <c r="E225" s="1016"/>
      <c r="F225" s="1016"/>
      <c r="G225" s="1016"/>
      <c r="H225" s="1016"/>
      <c r="I225" s="1024">
        <f>SUM(I198:I223)</f>
        <v>0</v>
      </c>
    </row>
    <row r="226" spans="1:9" ht="13" thickTop="1">
      <c r="A226" s="1017"/>
      <c r="C226" s="1016"/>
      <c r="D226" s="1016"/>
      <c r="E226" s="1016"/>
      <c r="F226" s="1016"/>
      <c r="G226" s="1016"/>
      <c r="H226" s="1016"/>
      <c r="I226" s="1021"/>
    </row>
    <row r="227" spans="1:9" ht="4.5" customHeight="1">
      <c r="A227" s="1020"/>
      <c r="B227" s="1019"/>
      <c r="C227" s="1023"/>
      <c r="D227" s="1023"/>
      <c r="E227" s="1023"/>
      <c r="F227" s="1023"/>
      <c r="G227" s="1023"/>
      <c r="H227" s="1023"/>
      <c r="I227" s="1022"/>
    </row>
    <row r="228" spans="1:9">
      <c r="A228" s="1017"/>
      <c r="C228" s="1016"/>
      <c r="D228" s="1016"/>
      <c r="E228" s="1016"/>
      <c r="F228" s="1016"/>
      <c r="G228" s="1016"/>
      <c r="H228" s="1016"/>
      <c r="I228" s="1021"/>
    </row>
    <row r="229" spans="1:9" ht="4.5" customHeight="1">
      <c r="A229" s="1020"/>
      <c r="B229" s="1019"/>
      <c r="C229" s="1019"/>
      <c r="D229" s="1019"/>
      <c r="E229" s="1019"/>
      <c r="F229" s="1019"/>
      <c r="G229" s="1019"/>
      <c r="H229" s="1019"/>
      <c r="I229" s="1018"/>
    </row>
    <row r="230" spans="1:9" ht="15.75" customHeight="1">
      <c r="A230" s="1017"/>
      <c r="G230" s="1160">
        <f>SUM(I97,I185,I193,I225)</f>
        <v>0</v>
      </c>
      <c r="H230" s="1161"/>
      <c r="I230" s="1162"/>
    </row>
    <row r="231" spans="1:9" ht="19.5" customHeight="1">
      <c r="A231" s="1169" t="s">
        <v>1092</v>
      </c>
      <c r="B231" s="1170"/>
      <c r="C231" s="1170"/>
      <c r="D231" s="1170"/>
      <c r="E231" s="1170"/>
      <c r="F231" s="1171"/>
      <c r="G231" s="1163"/>
      <c r="H231" s="1164"/>
      <c r="I231" s="1165"/>
    </row>
    <row r="232" spans="1:9" ht="16.5" customHeight="1" thickBot="1">
      <c r="A232" s="1014"/>
      <c r="B232" s="1013"/>
      <c r="C232" s="1013"/>
      <c r="D232" s="1013"/>
      <c r="E232" s="1013"/>
      <c r="F232" s="1013"/>
      <c r="G232" s="1166"/>
      <c r="H232" s="1167"/>
      <c r="I232" s="1168"/>
    </row>
  </sheetData>
  <mergeCells count="3">
    <mergeCell ref="A3:I4"/>
    <mergeCell ref="G230:I232"/>
    <mergeCell ref="A231:F23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fitToHeight="0" orientation="portrait" r:id="rId1"/>
  <headerFooter>
    <oddHeader>&amp;F</oddHeader>
    <oddFooter>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DD84C-B895-CC47-BA39-0F2B45AF2428}">
  <sheetPr>
    <tabColor theme="6" tint="0.39997558519241921"/>
    <pageSetUpPr fitToPage="1"/>
  </sheetPr>
  <dimension ref="A1:BG113"/>
  <sheetViews>
    <sheetView topLeftCell="A3" workbookViewId="0">
      <selection activeCell="G14" sqref="G14"/>
    </sheetView>
  </sheetViews>
  <sheetFormatPr baseColWidth="10" defaultColWidth="8.83203125" defaultRowHeight="15"/>
  <cols>
    <col min="1" max="1" width="4" customWidth="1"/>
    <col min="3" max="3" width="10.83203125" customWidth="1"/>
    <col min="6" max="6" width="10.83203125" customWidth="1"/>
    <col min="7" max="7" width="10.33203125" bestFit="1" customWidth="1"/>
    <col min="8" max="8" width="6.5" customWidth="1"/>
    <col min="9" max="9" width="9.1640625" bestFit="1" customWidth="1"/>
    <col min="10" max="10" width="13.6640625" customWidth="1"/>
    <col min="11" max="11" width="1.83203125" customWidth="1"/>
    <col min="12" max="12" width="14.33203125" hidden="1" customWidth="1"/>
    <col min="13" max="19" width="11.6640625" hidden="1" customWidth="1"/>
    <col min="24" max="24" width="11.5" customWidth="1"/>
    <col min="25" max="25" width="5.1640625" customWidth="1"/>
    <col min="26" max="26" width="13" style="69" customWidth="1"/>
    <col min="35" max="35" width="11.83203125" customWidth="1"/>
    <col min="37" max="38" width="11.1640625" style="83" bestFit="1" customWidth="1"/>
    <col min="39" max="39" width="8.83203125" style="11"/>
    <col min="40" max="46" width="9.1640625" style="11" bestFit="1" customWidth="1"/>
    <col min="47" max="47" width="9.1640625" style="11" customWidth="1"/>
    <col min="53" max="54" width="8.83203125" style="11"/>
    <col min="55" max="55" width="4.83203125" customWidth="1"/>
    <col min="56" max="56" width="9.1640625" bestFit="1" customWidth="1"/>
  </cols>
  <sheetData>
    <row r="1" spans="1:54" s="1" customFormat="1" ht="18" customHeight="1">
      <c r="M1" s="1" t="s">
        <v>717</v>
      </c>
      <c r="N1" s="1">
        <f>3.142*(0.45*0.45)</f>
        <v>0.63625500000000001</v>
      </c>
      <c r="O1" s="85">
        <f>N1*G54</f>
        <v>10.18008</v>
      </c>
      <c r="W1"/>
      <c r="X1"/>
      <c r="Y1"/>
      <c r="Z1" s="69"/>
      <c r="AI1"/>
      <c r="AJ1"/>
      <c r="AK1" s="83"/>
      <c r="AL1" s="83"/>
      <c r="AM1" s="81"/>
      <c r="AN1" s="81"/>
      <c r="AO1" s="81"/>
      <c r="AP1" s="81"/>
      <c r="AQ1" s="81"/>
      <c r="AR1" s="81"/>
      <c r="AS1" s="81"/>
      <c r="AT1" s="81"/>
      <c r="AU1" s="81"/>
      <c r="BA1" s="81"/>
      <c r="BB1" s="81"/>
    </row>
    <row r="2" spans="1:54" s="1" customFormat="1">
      <c r="B2" s="1" t="str">
        <f>'Breakdown Summary'!B2</f>
        <v>Trows Farm, Castleton</v>
      </c>
      <c r="G2" s="1" t="str">
        <f>'Breakdown Summary'!G2</f>
        <v>Date</v>
      </c>
      <c r="H2" s="1045">
        <f>'Breakdown Summary'!H2</f>
        <v>45453</v>
      </c>
      <c r="I2" s="1045"/>
      <c r="J2" s="1" t="str">
        <f>'Breakdown Summary'!J2</f>
        <v>Ver - 6</v>
      </c>
      <c r="M2" s="1" t="s">
        <v>211</v>
      </c>
      <c r="O2" s="732">
        <f>G70</f>
        <v>0</v>
      </c>
      <c r="S2" s="49"/>
      <c r="W2" s="1" t="s">
        <v>217</v>
      </c>
      <c r="X2"/>
      <c r="Y2"/>
      <c r="Z2" s="69">
        <f>'Surface Water Sewers'!L11</f>
        <v>134.87695439999999</v>
      </c>
      <c r="AA2" s="1" t="s">
        <v>216</v>
      </c>
      <c r="AI2"/>
      <c r="AJ2"/>
      <c r="AK2" s="83"/>
      <c r="AL2" s="83"/>
      <c r="AM2" s="81"/>
      <c r="AN2" s="81"/>
      <c r="AO2" s="81"/>
      <c r="AQ2" s="81"/>
      <c r="AR2" s="81"/>
      <c r="AS2" s="81"/>
      <c r="AT2" s="81"/>
      <c r="AU2" s="81"/>
      <c r="BA2" s="81"/>
      <c r="BB2" s="81"/>
    </row>
    <row r="3" spans="1:54" s="1" customFormat="1">
      <c r="B3" s="1" t="str">
        <f>'Breakdown Summary'!B3</f>
        <v>Cowm Top Lane, Rochdale</v>
      </c>
      <c r="G3" s="1" t="str">
        <f>'Breakdown Summary'!H3</f>
        <v>Breakdown of Abnormal Costs</v>
      </c>
      <c r="W3" s="1" t="s">
        <v>215</v>
      </c>
      <c r="X3"/>
      <c r="Y3"/>
      <c r="Z3" s="69">
        <v>1800</v>
      </c>
      <c r="AA3" s="1" t="s">
        <v>19</v>
      </c>
      <c r="AC3" s="81">
        <f>(3.142*((1.2/2)*(1.2/2)))*2</f>
        <v>2.2622399999999998</v>
      </c>
      <c r="AD3" s="1" t="s">
        <v>18</v>
      </c>
      <c r="AI3"/>
      <c r="AJ3"/>
      <c r="AK3" s="83"/>
      <c r="AL3" s="83"/>
      <c r="AM3" s="81"/>
      <c r="AN3" s="81"/>
      <c r="AO3" s="81"/>
      <c r="AQ3" s="81"/>
      <c r="AR3" s="81"/>
      <c r="AS3" s="81"/>
      <c r="AT3" s="81"/>
      <c r="AU3" s="81"/>
      <c r="BA3" s="81"/>
      <c r="BB3" s="81"/>
    </row>
    <row r="4" spans="1:54" s="1" customFormat="1" ht="12.75" customHeight="1">
      <c r="W4"/>
      <c r="X4"/>
      <c r="Y4"/>
      <c r="Z4" s="69"/>
      <c r="AI4"/>
      <c r="AJ4"/>
      <c r="AK4" s="83"/>
      <c r="AL4" s="83"/>
      <c r="AM4" s="81"/>
      <c r="AN4" s="81"/>
      <c r="AO4" s="81"/>
      <c r="AP4" s="81"/>
      <c r="AQ4" s="81"/>
      <c r="AR4" s="81"/>
      <c r="AS4" s="81"/>
      <c r="AT4" s="81"/>
      <c r="AU4" s="81"/>
      <c r="BA4" s="81"/>
      <c r="BB4" s="81"/>
    </row>
    <row r="5" spans="1:54" s="1" customFormat="1">
      <c r="A5" s="1046" t="s">
        <v>0</v>
      </c>
      <c r="B5" s="1054" t="s">
        <v>1</v>
      </c>
      <c r="C5" s="1055"/>
      <c r="D5" s="1055"/>
      <c r="E5" s="1055"/>
      <c r="F5" s="1056"/>
      <c r="G5" s="1046" t="s">
        <v>6</v>
      </c>
      <c r="H5" s="1046" t="s">
        <v>5</v>
      </c>
      <c r="I5" s="1046" t="s">
        <v>2</v>
      </c>
      <c r="J5" s="1046" t="s">
        <v>3</v>
      </c>
      <c r="L5" s="1049" t="str">
        <f>'Breakdown Summary'!L5:S5</f>
        <v>Phasing Breakdown</v>
      </c>
      <c r="M5" s="1050"/>
      <c r="N5" s="1050"/>
      <c r="O5" s="1050"/>
      <c r="P5" s="1050"/>
      <c r="Q5" s="1050"/>
      <c r="R5" s="1050"/>
      <c r="S5" s="1051"/>
      <c r="W5"/>
      <c r="X5"/>
      <c r="Y5"/>
      <c r="Z5" s="69"/>
      <c r="AI5"/>
      <c r="AJ5"/>
      <c r="AK5" s="83"/>
      <c r="AL5" s="83"/>
      <c r="AM5" s="81"/>
      <c r="AN5" s="81"/>
      <c r="AO5" s="81" t="s">
        <v>214</v>
      </c>
      <c r="AP5" s="81">
        <f>(3.142*((1.35/2)*(1.35/2)))*2</f>
        <v>2.8631475000000002</v>
      </c>
      <c r="AQ5" s="81">
        <f>(3.142*((1.5/2)*(1.5/2)))*2</f>
        <v>3.5347499999999998</v>
      </c>
      <c r="AR5" s="81">
        <f>(3.142*((1.8/2)*(1.8/2)))*2</f>
        <v>5.0900400000000001</v>
      </c>
      <c r="AS5" s="81">
        <f>(3.142*((2.1/2)*(2.1/2)))*2</f>
        <v>6.9281100000000002</v>
      </c>
      <c r="AT5" s="81">
        <f>(3.142*((2.4/2)*(2.4/2)))*2</f>
        <v>9.0489599999999992</v>
      </c>
      <c r="AU5" s="81"/>
      <c r="BA5" s="81"/>
      <c r="BB5" s="81"/>
    </row>
    <row r="6" spans="1:54" s="1" customFormat="1" ht="14" customHeight="1">
      <c r="A6" s="1047"/>
      <c r="B6" s="1057"/>
      <c r="C6" s="1058"/>
      <c r="D6" s="1058"/>
      <c r="E6" s="1058"/>
      <c r="F6" s="1059"/>
      <c r="G6" s="1047"/>
      <c r="H6" s="1047"/>
      <c r="I6" s="1047"/>
      <c r="J6" s="1047"/>
      <c r="L6" s="1052" t="str">
        <f>'Breakdown Summary'!L6</f>
        <v>Site 1</v>
      </c>
      <c r="M6" s="1053"/>
      <c r="N6" s="1052">
        <f>'Breakdown Summary'!N6</f>
        <v>0</v>
      </c>
      <c r="O6" s="1053"/>
      <c r="P6" s="1063">
        <f>'Breakdown Summary'!P6:P7</f>
        <v>0</v>
      </c>
      <c r="Q6" s="1063">
        <f>'Breakdown Summary'!Q6:Q7</f>
        <v>0</v>
      </c>
      <c r="R6" s="1063">
        <f>'Breakdown Summary'!R6:R7</f>
        <v>0</v>
      </c>
      <c r="S6" s="1063">
        <f>'Breakdown Summary'!S6:S7</f>
        <v>0</v>
      </c>
      <c r="W6"/>
      <c r="X6"/>
      <c r="Y6"/>
      <c r="Z6" s="69"/>
      <c r="AI6"/>
      <c r="AJ6"/>
      <c r="AK6" s="83"/>
      <c r="AL6" s="83"/>
      <c r="AM6" s="81"/>
      <c r="AN6" s="81"/>
      <c r="AO6" s="81"/>
      <c r="AP6" s="81"/>
      <c r="AQ6" s="81"/>
      <c r="AR6" s="81"/>
      <c r="AS6" s="81"/>
      <c r="AT6" s="81"/>
      <c r="AU6" s="81"/>
      <c r="BA6" s="81"/>
      <c r="BB6" s="81"/>
    </row>
    <row r="7" spans="1:54">
      <c r="A7" s="1047"/>
      <c r="B7" s="1057"/>
      <c r="C7" s="1058"/>
      <c r="D7" s="1058"/>
      <c r="E7" s="1058"/>
      <c r="F7" s="1059"/>
      <c r="G7" s="1047"/>
      <c r="H7" s="1047"/>
      <c r="I7" s="1047"/>
      <c r="J7" s="1047"/>
      <c r="L7" s="715" t="str">
        <f>'Breakdown Summary'!L7</f>
        <v>Barratt</v>
      </c>
      <c r="M7" s="715" t="str">
        <f>'Breakdown Summary'!M7</f>
        <v>David Wilson</v>
      </c>
      <c r="N7" s="715" t="str">
        <f>'Breakdown Summary'!N7</f>
        <v>Phs</v>
      </c>
      <c r="O7" s="715" t="str">
        <f>'Breakdown Summary'!O7</f>
        <v>Phs</v>
      </c>
      <c r="P7" s="1065"/>
      <c r="Q7" s="1065"/>
      <c r="R7" s="1065"/>
      <c r="S7" s="1065"/>
      <c r="W7" t="s">
        <v>47</v>
      </c>
      <c r="X7" t="s">
        <v>48</v>
      </c>
      <c r="Y7" t="s">
        <v>213</v>
      </c>
      <c r="Z7" s="69" t="s">
        <v>212</v>
      </c>
      <c r="AA7">
        <v>150</v>
      </c>
      <c r="AB7">
        <v>225</v>
      </c>
      <c r="AC7">
        <v>300</v>
      </c>
      <c r="AD7">
        <v>375</v>
      </c>
      <c r="AE7">
        <v>450</v>
      </c>
      <c r="AF7">
        <v>525</v>
      </c>
      <c r="AG7">
        <v>600</v>
      </c>
      <c r="AI7" t="s">
        <v>211</v>
      </c>
      <c r="AJ7" t="s">
        <v>139</v>
      </c>
      <c r="AK7" s="83" t="s">
        <v>133</v>
      </c>
      <c r="AL7" s="83" t="s">
        <v>134</v>
      </c>
      <c r="AM7" s="11" t="s">
        <v>37</v>
      </c>
      <c r="AN7" s="22">
        <v>1050</v>
      </c>
      <c r="AO7" s="22">
        <v>1200</v>
      </c>
      <c r="AP7" s="22">
        <v>1350</v>
      </c>
      <c r="AQ7" s="22">
        <v>1500</v>
      </c>
      <c r="AR7" s="22">
        <v>1800</v>
      </c>
      <c r="AS7" s="22">
        <v>2100</v>
      </c>
      <c r="AT7" s="22">
        <v>2400</v>
      </c>
      <c r="AU7" s="22"/>
    </row>
    <row r="8" spans="1:54" s="1" customFormat="1">
      <c r="A8" s="1048"/>
      <c r="B8" s="1060"/>
      <c r="C8" s="1061"/>
      <c r="D8" s="1061"/>
      <c r="E8" s="1061"/>
      <c r="F8" s="1062"/>
      <c r="G8" s="1048"/>
      <c r="H8" s="1048"/>
      <c r="I8" s="1048"/>
      <c r="J8" s="1048"/>
      <c r="L8" s="733">
        <f>'Breakdown Summary'!L13</f>
        <v>19.11</v>
      </c>
      <c r="M8" s="733">
        <f>'Breakdown Summary'!M13</f>
        <v>10.009886307464162</v>
      </c>
      <c r="N8" s="733">
        <f>'Breakdown Summary'!N13</f>
        <v>0</v>
      </c>
      <c r="O8" s="733">
        <f>'Breakdown Summary'!O13</f>
        <v>0</v>
      </c>
      <c r="P8" s="720">
        <f>'Breakdown Summary'!P13</f>
        <v>0</v>
      </c>
      <c r="Q8" s="60"/>
      <c r="R8" s="61"/>
      <c r="S8" s="61"/>
      <c r="W8"/>
      <c r="X8"/>
      <c r="Y8"/>
      <c r="Z8" s="69"/>
      <c r="AI8"/>
      <c r="AJ8"/>
      <c r="AK8" s="83"/>
      <c r="AL8" s="83"/>
      <c r="AM8" s="81"/>
      <c r="AN8" s="81"/>
      <c r="AO8" s="81"/>
      <c r="AP8" s="81"/>
      <c r="AQ8" s="81"/>
      <c r="AR8" s="81"/>
      <c r="AS8" s="81"/>
      <c r="AT8" s="81"/>
      <c r="AU8" s="81"/>
      <c r="BA8" s="81"/>
      <c r="BB8" s="81"/>
    </row>
    <row r="9" spans="1:54">
      <c r="A9" s="16"/>
      <c r="B9" s="3"/>
      <c r="C9" s="4"/>
      <c r="D9" s="4"/>
      <c r="E9" s="4"/>
      <c r="F9" s="5"/>
      <c r="G9" s="11"/>
      <c r="H9" s="12"/>
      <c r="I9" s="21"/>
      <c r="J9" s="12"/>
      <c r="L9" s="3"/>
      <c r="M9" s="58"/>
      <c r="N9" s="4"/>
      <c r="O9" s="58"/>
      <c r="P9" s="4"/>
      <c r="Q9" s="58"/>
      <c r="R9" s="58"/>
      <c r="S9" s="5"/>
      <c r="AA9" s="230">
        <f t="shared" ref="AA9:AG24" si="0">IF($Y9=AA$7,$Z9,0)</f>
        <v>0</v>
      </c>
      <c r="AB9" s="230">
        <f t="shared" si="0"/>
        <v>0</v>
      </c>
      <c r="AC9" s="230">
        <f t="shared" si="0"/>
        <v>0</v>
      </c>
      <c r="AD9" s="230">
        <f t="shared" si="0"/>
        <v>0</v>
      </c>
      <c r="AE9" s="230">
        <f t="shared" si="0"/>
        <v>0</v>
      </c>
      <c r="AF9" s="230">
        <f t="shared" si="0"/>
        <v>0</v>
      </c>
      <c r="AG9" s="230">
        <f t="shared" si="0"/>
        <v>0</v>
      </c>
      <c r="AN9" s="11">
        <f t="shared" ref="AN9:AT24" si="1">IF($AJ9=AN$7,1,0)</f>
        <v>0</v>
      </c>
      <c r="AO9" s="11">
        <f t="shared" si="1"/>
        <v>0</v>
      </c>
      <c r="AP9" s="11">
        <f t="shared" si="1"/>
        <v>0</v>
      </c>
      <c r="AQ9" s="11">
        <f t="shared" si="1"/>
        <v>0</v>
      </c>
      <c r="AR9" s="11">
        <f t="shared" si="1"/>
        <v>0</v>
      </c>
      <c r="AS9" s="11">
        <f t="shared" si="1"/>
        <v>0</v>
      </c>
      <c r="AT9" s="11">
        <f t="shared" si="1"/>
        <v>0</v>
      </c>
    </row>
    <row r="10" spans="1:54">
      <c r="A10" s="19">
        <v>8</v>
      </c>
      <c r="B10" s="20" t="s">
        <v>11</v>
      </c>
      <c r="F10" s="7"/>
      <c r="G10" s="11"/>
      <c r="H10" s="13"/>
      <c r="I10" s="21"/>
      <c r="J10" s="13"/>
      <c r="L10" s="6"/>
      <c r="M10" s="2"/>
      <c r="O10" s="2"/>
      <c r="Q10" s="2"/>
      <c r="R10" s="2"/>
      <c r="S10" s="7"/>
      <c r="AA10" s="230">
        <f t="shared" si="0"/>
        <v>0</v>
      </c>
      <c r="AB10" s="230">
        <f t="shared" si="0"/>
        <v>0</v>
      </c>
      <c r="AC10" s="230">
        <f t="shared" si="0"/>
        <v>0</v>
      </c>
      <c r="AD10" s="230">
        <f t="shared" si="0"/>
        <v>0</v>
      </c>
      <c r="AE10" s="230">
        <f t="shared" si="0"/>
        <v>0</v>
      </c>
      <c r="AF10" s="230">
        <f t="shared" si="0"/>
        <v>0</v>
      </c>
      <c r="AG10" s="230">
        <f t="shared" si="0"/>
        <v>0</v>
      </c>
      <c r="AN10" s="11">
        <f t="shared" si="1"/>
        <v>0</v>
      </c>
      <c r="AO10" s="11">
        <f t="shared" si="1"/>
        <v>0</v>
      </c>
      <c r="AP10" s="11">
        <f t="shared" si="1"/>
        <v>0</v>
      </c>
      <c r="AQ10" s="11">
        <f t="shared" si="1"/>
        <v>0</v>
      </c>
      <c r="AR10" s="11">
        <f t="shared" si="1"/>
        <v>0</v>
      </c>
      <c r="AS10" s="11">
        <f t="shared" si="1"/>
        <v>0</v>
      </c>
      <c r="AT10" s="11">
        <f t="shared" si="1"/>
        <v>0</v>
      </c>
    </row>
    <row r="11" spans="1:54">
      <c r="A11" s="17"/>
      <c r="B11" s="6"/>
      <c r="F11" s="7"/>
      <c r="G11" s="11"/>
      <c r="H11" s="13"/>
      <c r="I11" s="21"/>
      <c r="J11" s="13"/>
      <c r="L11" s="6"/>
      <c r="M11" s="2"/>
      <c r="O11" s="2"/>
      <c r="Q11" s="2"/>
      <c r="R11" s="2"/>
      <c r="S11" s="7"/>
      <c r="AA11" s="230">
        <f t="shared" si="0"/>
        <v>0</v>
      </c>
      <c r="AB11" s="230">
        <f t="shared" si="0"/>
        <v>0</v>
      </c>
      <c r="AC11" s="230">
        <f t="shared" si="0"/>
        <v>0</v>
      </c>
      <c r="AD11" s="230">
        <f t="shared" si="0"/>
        <v>0</v>
      </c>
      <c r="AE11" s="230">
        <f t="shared" si="0"/>
        <v>0</v>
      </c>
      <c r="AF11" s="230">
        <f t="shared" si="0"/>
        <v>0</v>
      </c>
      <c r="AG11" s="230">
        <f t="shared" si="0"/>
        <v>0</v>
      </c>
      <c r="AN11" s="11">
        <f t="shared" si="1"/>
        <v>0</v>
      </c>
      <c r="AO11" s="11">
        <f t="shared" si="1"/>
        <v>0</v>
      </c>
      <c r="AP11" s="11">
        <f t="shared" si="1"/>
        <v>0</v>
      </c>
      <c r="AQ11" s="11">
        <f t="shared" si="1"/>
        <v>0</v>
      </c>
      <c r="AR11" s="11">
        <f t="shared" si="1"/>
        <v>0</v>
      </c>
      <c r="AS11" s="11">
        <f t="shared" si="1"/>
        <v>0</v>
      </c>
      <c r="AT11" s="11">
        <f t="shared" si="1"/>
        <v>0</v>
      </c>
    </row>
    <row r="12" spans="1:54" ht="14.25" customHeight="1">
      <c r="A12" s="17"/>
      <c r="B12" t="s">
        <v>718</v>
      </c>
      <c r="F12" s="7"/>
      <c r="G12" s="69"/>
      <c r="H12" s="206"/>
      <c r="I12" s="67"/>
      <c r="J12" s="206"/>
      <c r="L12" s="644">
        <f t="shared" ref="L12:L74" si="2">J12</f>
        <v>0</v>
      </c>
      <c r="M12" s="2"/>
      <c r="O12" s="2"/>
      <c r="Q12" s="2"/>
      <c r="R12" s="2"/>
      <c r="S12" s="7"/>
      <c r="AA12" s="230">
        <f t="shared" si="0"/>
        <v>0</v>
      </c>
      <c r="AB12" s="230">
        <f t="shared" si="0"/>
        <v>0</v>
      </c>
      <c r="AC12" s="230">
        <f t="shared" si="0"/>
        <v>0</v>
      </c>
      <c r="AD12" s="230">
        <f t="shared" si="0"/>
        <v>0</v>
      </c>
      <c r="AE12" s="230">
        <f t="shared" si="0"/>
        <v>0</v>
      </c>
      <c r="AF12" s="230">
        <f t="shared" si="0"/>
        <v>0</v>
      </c>
      <c r="AG12" s="230">
        <f t="shared" si="0"/>
        <v>0</v>
      </c>
      <c r="AN12" s="11">
        <f t="shared" si="1"/>
        <v>0</v>
      </c>
      <c r="AO12" s="11">
        <f t="shared" si="1"/>
        <v>0</v>
      </c>
      <c r="AP12" s="11">
        <f t="shared" si="1"/>
        <v>0</v>
      </c>
      <c r="AQ12" s="11">
        <f t="shared" si="1"/>
        <v>0</v>
      </c>
      <c r="AR12" s="11">
        <f t="shared" si="1"/>
        <v>0</v>
      </c>
      <c r="AS12" s="11">
        <f t="shared" si="1"/>
        <v>0</v>
      </c>
      <c r="AT12" s="11">
        <f t="shared" si="1"/>
        <v>0</v>
      </c>
    </row>
    <row r="13" spans="1:54" ht="14.25" customHeight="1">
      <c r="A13" s="17"/>
      <c r="C13" t="s">
        <v>719</v>
      </c>
      <c r="F13" s="7"/>
      <c r="G13" s="69">
        <v>665</v>
      </c>
      <c r="H13" s="206" t="s">
        <v>4</v>
      </c>
      <c r="I13" s="67">
        <f>185-Z2</f>
        <v>50.123045600000012</v>
      </c>
      <c r="J13" s="206">
        <f>G13*I13</f>
        <v>33331.825324000005</v>
      </c>
      <c r="L13" s="644">
        <f t="shared" si="2"/>
        <v>33331.825324000005</v>
      </c>
      <c r="M13" s="2"/>
      <c r="O13" s="2"/>
      <c r="Q13" s="2"/>
      <c r="R13" s="2"/>
      <c r="S13" s="7"/>
      <c r="AA13" s="230">
        <f t="shared" si="0"/>
        <v>0</v>
      </c>
      <c r="AB13" s="230">
        <f t="shared" si="0"/>
        <v>0</v>
      </c>
      <c r="AC13" s="230">
        <f t="shared" si="0"/>
        <v>0</v>
      </c>
      <c r="AD13" s="230">
        <f t="shared" si="0"/>
        <v>0</v>
      </c>
      <c r="AE13" s="230">
        <f t="shared" si="0"/>
        <v>0</v>
      </c>
      <c r="AF13" s="230">
        <f t="shared" si="0"/>
        <v>0</v>
      </c>
      <c r="AG13" s="230">
        <f t="shared" si="0"/>
        <v>0</v>
      </c>
      <c r="AN13" s="11">
        <f t="shared" si="1"/>
        <v>0</v>
      </c>
      <c r="AO13" s="11">
        <f t="shared" si="1"/>
        <v>0</v>
      </c>
      <c r="AP13" s="11">
        <f t="shared" si="1"/>
        <v>0</v>
      </c>
      <c r="AQ13" s="11">
        <f t="shared" si="1"/>
        <v>0</v>
      </c>
      <c r="AR13" s="11">
        <f t="shared" si="1"/>
        <v>0</v>
      </c>
      <c r="AS13" s="11">
        <f t="shared" si="1"/>
        <v>0</v>
      </c>
      <c r="AT13" s="11">
        <f t="shared" si="1"/>
        <v>0</v>
      </c>
    </row>
    <row r="14" spans="1:54" ht="14.25" customHeight="1">
      <c r="A14" s="17"/>
      <c r="B14" s="6"/>
      <c r="C14" t="s">
        <v>720</v>
      </c>
      <c r="F14" s="7">
        <v>0</v>
      </c>
      <c r="G14" s="69">
        <v>0</v>
      </c>
      <c r="H14" s="13" t="s">
        <v>4</v>
      </c>
      <c r="I14" s="67"/>
      <c r="J14" s="206">
        <f>G14*I14</f>
        <v>0</v>
      </c>
      <c r="L14" s="644">
        <f t="shared" si="2"/>
        <v>0</v>
      </c>
      <c r="M14" s="2"/>
      <c r="O14" s="2"/>
      <c r="Q14" s="2"/>
      <c r="R14" s="2"/>
      <c r="S14" s="7"/>
      <c r="AA14" s="230">
        <f t="shared" si="0"/>
        <v>0</v>
      </c>
      <c r="AB14" s="230">
        <f t="shared" si="0"/>
        <v>0</v>
      </c>
      <c r="AC14" s="230">
        <f t="shared" si="0"/>
        <v>0</v>
      </c>
      <c r="AD14" s="230">
        <f t="shared" si="0"/>
        <v>0</v>
      </c>
      <c r="AE14" s="230">
        <f t="shared" si="0"/>
        <v>0</v>
      </c>
      <c r="AF14" s="230">
        <f t="shared" si="0"/>
        <v>0</v>
      </c>
      <c r="AG14" s="230">
        <f t="shared" si="0"/>
        <v>0</v>
      </c>
      <c r="AN14" s="11">
        <f t="shared" si="1"/>
        <v>0</v>
      </c>
      <c r="AO14" s="11">
        <f t="shared" si="1"/>
        <v>0</v>
      </c>
      <c r="AP14" s="11">
        <f t="shared" si="1"/>
        <v>0</v>
      </c>
      <c r="AQ14" s="11">
        <f t="shared" si="1"/>
        <v>0</v>
      </c>
      <c r="AR14" s="11">
        <f t="shared" si="1"/>
        <v>0</v>
      </c>
      <c r="AS14" s="11">
        <f t="shared" si="1"/>
        <v>0</v>
      </c>
      <c r="AT14" s="11">
        <f t="shared" si="1"/>
        <v>0</v>
      </c>
    </row>
    <row r="15" spans="1:54">
      <c r="A15" s="17"/>
      <c r="C15" t="s">
        <v>721</v>
      </c>
      <c r="F15" s="7"/>
      <c r="G15" s="69">
        <f>(G13*(0.3-0.225)*2)+(G14*(0.3+0.3+0.3)*F14)</f>
        <v>99.749999999999972</v>
      </c>
      <c r="H15" s="206" t="s">
        <v>18</v>
      </c>
      <c r="I15" s="67">
        <v>42</v>
      </c>
      <c r="J15" s="206">
        <f>G15*I15</f>
        <v>4189.4999999999991</v>
      </c>
      <c r="L15" s="644">
        <f t="shared" si="2"/>
        <v>4189.4999999999991</v>
      </c>
      <c r="M15" s="2"/>
      <c r="O15" s="2"/>
      <c r="Q15" s="2"/>
      <c r="R15" s="2"/>
      <c r="S15" s="7"/>
      <c r="AA15" s="230">
        <f t="shared" si="0"/>
        <v>0</v>
      </c>
      <c r="AB15" s="230">
        <f t="shared" si="0"/>
        <v>0</v>
      </c>
      <c r="AC15" s="230">
        <f t="shared" si="0"/>
        <v>0</v>
      </c>
      <c r="AD15" s="230">
        <f t="shared" si="0"/>
        <v>0</v>
      </c>
      <c r="AE15" s="230">
        <f t="shared" si="0"/>
        <v>0</v>
      </c>
      <c r="AF15" s="230">
        <f t="shared" si="0"/>
        <v>0</v>
      </c>
      <c r="AG15" s="230">
        <f t="shared" si="0"/>
        <v>0</v>
      </c>
      <c r="AN15" s="11">
        <f t="shared" si="1"/>
        <v>0</v>
      </c>
      <c r="AO15" s="11">
        <f t="shared" si="1"/>
        <v>0</v>
      </c>
      <c r="AP15" s="11">
        <f t="shared" si="1"/>
        <v>0</v>
      </c>
      <c r="AQ15" s="11">
        <f t="shared" si="1"/>
        <v>0</v>
      </c>
      <c r="AR15" s="11">
        <f t="shared" si="1"/>
        <v>0</v>
      </c>
      <c r="AS15" s="11">
        <f t="shared" si="1"/>
        <v>0</v>
      </c>
      <c r="AT15" s="11">
        <f t="shared" si="1"/>
        <v>0</v>
      </c>
    </row>
    <row r="16" spans="1:54" ht="14.25" customHeight="1">
      <c r="A16" s="17"/>
      <c r="B16" s="6"/>
      <c r="F16" s="7"/>
      <c r="G16" s="69"/>
      <c r="H16" s="206"/>
      <c r="I16" s="67"/>
      <c r="J16" s="206"/>
      <c r="L16" s="644">
        <f t="shared" si="2"/>
        <v>0</v>
      </c>
      <c r="M16" s="2"/>
      <c r="O16" s="2"/>
      <c r="Q16" s="2"/>
      <c r="R16" s="2"/>
      <c r="S16" s="7"/>
      <c r="AA16" s="230">
        <f t="shared" si="0"/>
        <v>0</v>
      </c>
      <c r="AB16" s="230">
        <f t="shared" si="0"/>
        <v>0</v>
      </c>
      <c r="AC16" s="230">
        <f t="shared" si="0"/>
        <v>0</v>
      </c>
      <c r="AD16" s="230">
        <f t="shared" si="0"/>
        <v>0</v>
      </c>
      <c r="AE16" s="230">
        <f t="shared" si="0"/>
        <v>0</v>
      </c>
      <c r="AF16" s="230">
        <f t="shared" si="0"/>
        <v>0</v>
      </c>
      <c r="AG16" s="230">
        <f t="shared" si="0"/>
        <v>0</v>
      </c>
      <c r="AN16" s="11">
        <f t="shared" si="1"/>
        <v>0</v>
      </c>
      <c r="AO16" s="11">
        <f t="shared" si="1"/>
        <v>0</v>
      </c>
      <c r="AP16" s="11">
        <f t="shared" si="1"/>
        <v>0</v>
      </c>
      <c r="AQ16" s="11">
        <f t="shared" si="1"/>
        <v>0</v>
      </c>
      <c r="AR16" s="11">
        <f t="shared" si="1"/>
        <v>0</v>
      </c>
      <c r="AS16" s="11">
        <f t="shared" si="1"/>
        <v>0</v>
      </c>
      <c r="AT16" s="11">
        <f t="shared" si="1"/>
        <v>0</v>
      </c>
    </row>
    <row r="17" spans="1:52" s="11" customFormat="1" ht="14.25" customHeight="1">
      <c r="A17" s="17"/>
      <c r="B17" t="s">
        <v>722</v>
      </c>
      <c r="C17"/>
      <c r="D17"/>
      <c r="E17"/>
      <c r="F17" s="7"/>
      <c r="G17" s="69"/>
      <c r="H17" s="206"/>
      <c r="I17" s="67"/>
      <c r="J17" s="206"/>
      <c r="K17"/>
      <c r="L17" s="644">
        <f t="shared" si="2"/>
        <v>0</v>
      </c>
      <c r="M17" s="2"/>
      <c r="N17"/>
      <c r="O17" s="2"/>
      <c r="P17"/>
      <c r="Q17" s="2"/>
      <c r="R17" s="2"/>
      <c r="S17" s="7"/>
      <c r="T17"/>
      <c r="U17"/>
      <c r="V17"/>
      <c r="W17"/>
      <c r="X17"/>
      <c r="Y17"/>
      <c r="Z17" s="69"/>
      <c r="AA17" s="230">
        <f t="shared" si="0"/>
        <v>0</v>
      </c>
      <c r="AB17" s="230">
        <f t="shared" si="0"/>
        <v>0</v>
      </c>
      <c r="AC17" s="230">
        <f t="shared" si="0"/>
        <v>0</v>
      </c>
      <c r="AD17" s="230">
        <f t="shared" si="0"/>
        <v>0</v>
      </c>
      <c r="AE17" s="230">
        <f t="shared" si="0"/>
        <v>0</v>
      </c>
      <c r="AF17" s="230">
        <f t="shared" si="0"/>
        <v>0</v>
      </c>
      <c r="AG17" s="230">
        <f t="shared" si="0"/>
        <v>0</v>
      </c>
      <c r="AH17"/>
      <c r="AI17"/>
      <c r="AJ17"/>
      <c r="AK17" s="83"/>
      <c r="AL17" s="83"/>
      <c r="AN17" s="11">
        <f t="shared" si="1"/>
        <v>0</v>
      </c>
      <c r="AO17" s="11">
        <f t="shared" si="1"/>
        <v>0</v>
      </c>
      <c r="AP17" s="11">
        <f t="shared" si="1"/>
        <v>0</v>
      </c>
      <c r="AQ17" s="11">
        <f t="shared" si="1"/>
        <v>0</v>
      </c>
      <c r="AR17" s="11">
        <f t="shared" si="1"/>
        <v>0</v>
      </c>
      <c r="AS17" s="11">
        <f t="shared" si="1"/>
        <v>0</v>
      </c>
      <c r="AT17" s="11">
        <f t="shared" si="1"/>
        <v>0</v>
      </c>
      <c r="AV17"/>
      <c r="AW17"/>
      <c r="AX17"/>
      <c r="AY17"/>
      <c r="AZ17"/>
    </row>
    <row r="18" spans="1:52" s="11" customFormat="1" ht="14.25" customHeight="1">
      <c r="A18" s="17"/>
      <c r="B18"/>
      <c r="C18" t="s">
        <v>723</v>
      </c>
      <c r="D18"/>
      <c r="E18"/>
      <c r="F18" s="7"/>
      <c r="G18" s="69">
        <v>139</v>
      </c>
      <c r="H18" s="206" t="s">
        <v>4</v>
      </c>
      <c r="I18" s="67">
        <f>190-Z2</f>
        <v>55.123045600000012</v>
      </c>
      <c r="J18" s="206">
        <f>G18*I18</f>
        <v>7662.103338400002</v>
      </c>
      <c r="K18"/>
      <c r="L18" s="644">
        <f t="shared" si="2"/>
        <v>7662.103338400002</v>
      </c>
      <c r="M18" s="2"/>
      <c r="N18"/>
      <c r="O18" s="2"/>
      <c r="P18"/>
      <c r="Q18" s="2"/>
      <c r="R18" s="2"/>
      <c r="S18" s="7"/>
      <c r="T18"/>
      <c r="U18"/>
      <c r="V18"/>
      <c r="W18"/>
      <c r="X18"/>
      <c r="Y18"/>
      <c r="Z18" s="69"/>
      <c r="AA18" s="230">
        <f t="shared" si="0"/>
        <v>0</v>
      </c>
      <c r="AB18" s="230">
        <f t="shared" si="0"/>
        <v>0</v>
      </c>
      <c r="AC18" s="230">
        <f t="shared" si="0"/>
        <v>0</v>
      </c>
      <c r="AD18" s="230">
        <f t="shared" si="0"/>
        <v>0</v>
      </c>
      <c r="AE18" s="230">
        <f t="shared" si="0"/>
        <v>0</v>
      </c>
      <c r="AF18" s="230">
        <f t="shared" si="0"/>
        <v>0</v>
      </c>
      <c r="AG18" s="230">
        <f t="shared" si="0"/>
        <v>0</v>
      </c>
      <c r="AH18"/>
      <c r="AI18"/>
      <c r="AJ18"/>
      <c r="AK18" s="83"/>
      <c r="AL18" s="83"/>
      <c r="AN18" s="11">
        <f t="shared" si="1"/>
        <v>0</v>
      </c>
      <c r="AO18" s="11">
        <f t="shared" si="1"/>
        <v>0</v>
      </c>
      <c r="AP18" s="11">
        <f t="shared" si="1"/>
        <v>0</v>
      </c>
      <c r="AQ18" s="11">
        <f t="shared" si="1"/>
        <v>0</v>
      </c>
      <c r="AR18" s="11">
        <f t="shared" si="1"/>
        <v>0</v>
      </c>
      <c r="AS18" s="11">
        <f t="shared" si="1"/>
        <v>0</v>
      </c>
      <c r="AT18" s="11">
        <f t="shared" si="1"/>
        <v>0</v>
      </c>
      <c r="AV18"/>
      <c r="AW18"/>
      <c r="AX18"/>
      <c r="AY18"/>
      <c r="AZ18"/>
    </row>
    <row r="19" spans="1:52" s="11" customFormat="1">
      <c r="A19" s="17"/>
      <c r="B19" s="6"/>
      <c r="C19" t="s">
        <v>720</v>
      </c>
      <c r="D19"/>
      <c r="E19"/>
      <c r="F19" s="7">
        <v>0</v>
      </c>
      <c r="G19" s="69">
        <v>0</v>
      </c>
      <c r="H19" s="13" t="s">
        <v>4</v>
      </c>
      <c r="I19" s="67"/>
      <c r="J19" s="206">
        <f>G19*I19</f>
        <v>0</v>
      </c>
      <c r="K19"/>
      <c r="L19" s="644">
        <f t="shared" si="2"/>
        <v>0</v>
      </c>
      <c r="M19" s="2"/>
      <c r="N19"/>
      <c r="O19" s="2"/>
      <c r="P19"/>
      <c r="Q19" s="2"/>
      <c r="R19" s="2"/>
      <c r="S19" s="7"/>
      <c r="T19"/>
      <c r="U19"/>
      <c r="V19"/>
      <c r="W19"/>
      <c r="X19"/>
      <c r="Y19"/>
      <c r="Z19" s="69"/>
      <c r="AA19" s="230">
        <f t="shared" si="0"/>
        <v>0</v>
      </c>
      <c r="AB19" s="230">
        <f t="shared" si="0"/>
        <v>0</v>
      </c>
      <c r="AC19" s="230">
        <f t="shared" si="0"/>
        <v>0</v>
      </c>
      <c r="AD19" s="230">
        <f t="shared" si="0"/>
        <v>0</v>
      </c>
      <c r="AE19" s="230">
        <f t="shared" si="0"/>
        <v>0</v>
      </c>
      <c r="AF19" s="230">
        <f t="shared" si="0"/>
        <v>0</v>
      </c>
      <c r="AG19" s="230">
        <f t="shared" si="0"/>
        <v>0</v>
      </c>
      <c r="AH19"/>
      <c r="AI19"/>
      <c r="AJ19"/>
      <c r="AK19" s="83"/>
      <c r="AL19" s="83"/>
      <c r="AN19" s="11">
        <f t="shared" si="1"/>
        <v>0</v>
      </c>
      <c r="AO19" s="11">
        <f t="shared" si="1"/>
        <v>0</v>
      </c>
      <c r="AP19" s="11">
        <f t="shared" si="1"/>
        <v>0</v>
      </c>
      <c r="AQ19" s="11">
        <f t="shared" si="1"/>
        <v>0</v>
      </c>
      <c r="AR19" s="11">
        <f t="shared" si="1"/>
        <v>0</v>
      </c>
      <c r="AS19" s="11">
        <f t="shared" si="1"/>
        <v>0</v>
      </c>
      <c r="AT19" s="11">
        <f t="shared" si="1"/>
        <v>0</v>
      </c>
      <c r="AV19"/>
      <c r="AW19"/>
      <c r="AX19"/>
      <c r="AY19"/>
      <c r="AZ19"/>
    </row>
    <row r="20" spans="1:52" s="11" customFormat="1" ht="14.25" customHeight="1">
      <c r="A20" s="17"/>
      <c r="B20"/>
      <c r="C20" t="s">
        <v>721</v>
      </c>
      <c r="D20"/>
      <c r="E20"/>
      <c r="F20" s="7"/>
      <c r="G20" s="69">
        <f>(G18*(0.375-0.225)*2)+(G19*(0.3+0.3+0.3)*F19)</f>
        <v>41.699999999999996</v>
      </c>
      <c r="H20" s="206" t="s">
        <v>18</v>
      </c>
      <c r="I20" s="67">
        <f>I$15</f>
        <v>42</v>
      </c>
      <c r="J20" s="206">
        <f>G20*I20</f>
        <v>1751.3999999999999</v>
      </c>
      <c r="K20"/>
      <c r="L20" s="644">
        <f t="shared" si="2"/>
        <v>1751.3999999999999</v>
      </c>
      <c r="M20" s="2"/>
      <c r="N20"/>
      <c r="O20" s="2"/>
      <c r="P20"/>
      <c r="Q20" s="2"/>
      <c r="R20" s="2"/>
      <c r="S20" s="7"/>
      <c r="T20"/>
      <c r="U20"/>
      <c r="V20"/>
      <c r="W20"/>
      <c r="X20"/>
      <c r="Y20"/>
      <c r="Z20" s="69"/>
      <c r="AA20" s="230">
        <f t="shared" si="0"/>
        <v>0</v>
      </c>
      <c r="AB20" s="230">
        <f t="shared" si="0"/>
        <v>0</v>
      </c>
      <c r="AC20" s="230">
        <f t="shared" si="0"/>
        <v>0</v>
      </c>
      <c r="AD20" s="230">
        <f t="shared" si="0"/>
        <v>0</v>
      </c>
      <c r="AE20" s="230">
        <f t="shared" si="0"/>
        <v>0</v>
      </c>
      <c r="AF20" s="230">
        <f t="shared" si="0"/>
        <v>0</v>
      </c>
      <c r="AG20" s="230">
        <f t="shared" si="0"/>
        <v>0</v>
      </c>
      <c r="AH20"/>
      <c r="AI20"/>
      <c r="AJ20"/>
      <c r="AK20" s="83"/>
      <c r="AL20" s="83"/>
      <c r="AN20" s="11">
        <f t="shared" si="1"/>
        <v>0</v>
      </c>
      <c r="AO20" s="11">
        <f t="shared" si="1"/>
        <v>0</v>
      </c>
      <c r="AP20" s="11">
        <f t="shared" si="1"/>
        <v>0</v>
      </c>
      <c r="AQ20" s="11">
        <f t="shared" si="1"/>
        <v>0</v>
      </c>
      <c r="AR20" s="11">
        <f t="shared" si="1"/>
        <v>0</v>
      </c>
      <c r="AS20" s="11">
        <f t="shared" si="1"/>
        <v>0</v>
      </c>
      <c r="AT20" s="11">
        <f t="shared" si="1"/>
        <v>0</v>
      </c>
      <c r="AV20"/>
      <c r="AW20"/>
      <c r="AX20"/>
      <c r="AY20"/>
      <c r="AZ20"/>
    </row>
    <row r="21" spans="1:52" s="11" customFormat="1" ht="14.25" customHeight="1">
      <c r="A21" s="17"/>
      <c r="B21" s="6"/>
      <c r="C21"/>
      <c r="D21"/>
      <c r="E21"/>
      <c r="F21" s="7"/>
      <c r="G21" s="69"/>
      <c r="H21" s="206"/>
      <c r="I21" s="67"/>
      <c r="J21" s="206"/>
      <c r="K21"/>
      <c r="L21" s="644">
        <f t="shared" si="2"/>
        <v>0</v>
      </c>
      <c r="M21" s="2"/>
      <c r="N21"/>
      <c r="O21" s="2"/>
      <c r="P21"/>
      <c r="Q21" s="2"/>
      <c r="R21" s="2"/>
      <c r="S21" s="7"/>
      <c r="T21"/>
      <c r="U21"/>
      <c r="V21"/>
      <c r="W21"/>
      <c r="X21"/>
      <c r="Y21"/>
      <c r="Z21" s="69"/>
      <c r="AA21" s="230">
        <f t="shared" si="0"/>
        <v>0</v>
      </c>
      <c r="AB21" s="230">
        <f t="shared" si="0"/>
        <v>0</v>
      </c>
      <c r="AC21" s="230">
        <f t="shared" si="0"/>
        <v>0</v>
      </c>
      <c r="AD21" s="230">
        <f t="shared" si="0"/>
        <v>0</v>
      </c>
      <c r="AE21" s="230">
        <f t="shared" si="0"/>
        <v>0</v>
      </c>
      <c r="AF21" s="230">
        <f t="shared" si="0"/>
        <v>0</v>
      </c>
      <c r="AG21" s="230">
        <f t="shared" si="0"/>
        <v>0</v>
      </c>
      <c r="AH21"/>
      <c r="AI21"/>
      <c r="AJ21"/>
      <c r="AK21" s="83"/>
      <c r="AL21" s="83"/>
      <c r="AN21" s="11">
        <f t="shared" si="1"/>
        <v>0</v>
      </c>
      <c r="AO21" s="11">
        <f t="shared" si="1"/>
        <v>0</v>
      </c>
      <c r="AP21" s="11">
        <f t="shared" si="1"/>
        <v>0</v>
      </c>
      <c r="AQ21" s="11">
        <f t="shared" si="1"/>
        <v>0</v>
      </c>
      <c r="AR21" s="11">
        <f t="shared" si="1"/>
        <v>0</v>
      </c>
      <c r="AS21" s="11">
        <f t="shared" si="1"/>
        <v>0</v>
      </c>
      <c r="AT21" s="11">
        <f t="shared" si="1"/>
        <v>0</v>
      </c>
      <c r="AV21"/>
      <c r="AW21"/>
      <c r="AX21"/>
      <c r="AY21"/>
      <c r="AZ21"/>
    </row>
    <row r="22" spans="1:52" s="11" customFormat="1" ht="14.25" customHeight="1">
      <c r="A22" s="17"/>
      <c r="B22" t="s">
        <v>724</v>
      </c>
      <c r="C22"/>
      <c r="D22"/>
      <c r="E22"/>
      <c r="F22" s="7"/>
      <c r="G22" s="69"/>
      <c r="H22" s="206"/>
      <c r="I22" s="67"/>
      <c r="J22" s="206"/>
      <c r="K22"/>
      <c r="L22" s="644">
        <f t="shared" si="2"/>
        <v>0</v>
      </c>
      <c r="M22" s="2"/>
      <c r="N22"/>
      <c r="O22" s="2"/>
      <c r="P22"/>
      <c r="Q22" s="2"/>
      <c r="R22" s="2"/>
      <c r="S22" s="7"/>
      <c r="T22"/>
      <c r="U22"/>
      <c r="V22"/>
      <c r="W22"/>
      <c r="X22"/>
      <c r="Y22"/>
      <c r="Z22" s="69"/>
      <c r="AA22" s="230">
        <f t="shared" si="0"/>
        <v>0</v>
      </c>
      <c r="AB22" s="230">
        <f t="shared" si="0"/>
        <v>0</v>
      </c>
      <c r="AC22" s="230">
        <f t="shared" si="0"/>
        <v>0</v>
      </c>
      <c r="AD22" s="230">
        <f t="shared" si="0"/>
        <v>0</v>
      </c>
      <c r="AE22" s="230">
        <f t="shared" si="0"/>
        <v>0</v>
      </c>
      <c r="AF22" s="230">
        <f t="shared" si="0"/>
        <v>0</v>
      </c>
      <c r="AG22" s="230">
        <f t="shared" si="0"/>
        <v>0</v>
      </c>
      <c r="AH22"/>
      <c r="AI22"/>
      <c r="AJ22"/>
      <c r="AK22" s="83"/>
      <c r="AL22" s="83"/>
      <c r="AN22" s="11">
        <f t="shared" si="1"/>
        <v>0</v>
      </c>
      <c r="AO22" s="11">
        <f t="shared" si="1"/>
        <v>0</v>
      </c>
      <c r="AP22" s="11">
        <f t="shared" si="1"/>
        <v>0</v>
      </c>
      <c r="AQ22" s="11">
        <f t="shared" si="1"/>
        <v>0</v>
      </c>
      <c r="AR22" s="11">
        <f t="shared" si="1"/>
        <v>0</v>
      </c>
      <c r="AS22" s="11">
        <f t="shared" si="1"/>
        <v>0</v>
      </c>
      <c r="AT22" s="11">
        <f t="shared" si="1"/>
        <v>0</v>
      </c>
      <c r="AV22"/>
      <c r="AW22"/>
      <c r="AX22"/>
      <c r="AY22"/>
      <c r="AZ22"/>
    </row>
    <row r="23" spans="1:52" s="11" customFormat="1" ht="14.25" customHeight="1">
      <c r="A23" s="17"/>
      <c r="B23"/>
      <c r="C23" t="s">
        <v>208</v>
      </c>
      <c r="D23"/>
      <c r="E23"/>
      <c r="F23" s="7"/>
      <c r="G23" s="69">
        <v>178</v>
      </c>
      <c r="H23" s="206" t="s">
        <v>4</v>
      </c>
      <c r="I23" s="67">
        <f>210-Z2</f>
        <v>75.123045600000012</v>
      </c>
      <c r="J23" s="206">
        <f>G23*I23</f>
        <v>13371.902116800002</v>
      </c>
      <c r="K23"/>
      <c r="L23" s="644">
        <f t="shared" si="2"/>
        <v>13371.902116800002</v>
      </c>
      <c r="M23" s="2"/>
      <c r="N23"/>
      <c r="O23" s="2"/>
      <c r="P23"/>
      <c r="Q23" s="2"/>
      <c r="R23" s="2"/>
      <c r="S23" s="7"/>
      <c r="T23"/>
      <c r="U23"/>
      <c r="V23"/>
      <c r="W23"/>
      <c r="X23"/>
      <c r="Y23"/>
      <c r="Z23" s="69"/>
      <c r="AA23" s="230">
        <f t="shared" si="0"/>
        <v>0</v>
      </c>
      <c r="AB23" s="230">
        <f t="shared" si="0"/>
        <v>0</v>
      </c>
      <c r="AC23" s="230">
        <f t="shared" si="0"/>
        <v>0</v>
      </c>
      <c r="AD23" s="230">
        <f t="shared" si="0"/>
        <v>0</v>
      </c>
      <c r="AE23" s="230">
        <f t="shared" si="0"/>
        <v>0</v>
      </c>
      <c r="AF23" s="230">
        <f t="shared" si="0"/>
        <v>0</v>
      </c>
      <c r="AG23" s="230">
        <f t="shared" si="0"/>
        <v>0</v>
      </c>
      <c r="AH23"/>
      <c r="AI23"/>
      <c r="AJ23"/>
      <c r="AK23" s="83"/>
      <c r="AL23" s="83"/>
      <c r="AN23" s="11">
        <f t="shared" si="1"/>
        <v>0</v>
      </c>
      <c r="AO23" s="11">
        <f t="shared" si="1"/>
        <v>0</v>
      </c>
      <c r="AP23" s="11">
        <f t="shared" si="1"/>
        <v>0</v>
      </c>
      <c r="AQ23" s="11">
        <f t="shared" si="1"/>
        <v>0</v>
      </c>
      <c r="AR23" s="11">
        <f t="shared" si="1"/>
        <v>0</v>
      </c>
      <c r="AS23" s="11">
        <f t="shared" si="1"/>
        <v>0</v>
      </c>
      <c r="AT23" s="11">
        <f t="shared" si="1"/>
        <v>0</v>
      </c>
      <c r="AV23"/>
      <c r="AW23"/>
      <c r="AX23"/>
      <c r="AY23"/>
      <c r="AZ23"/>
    </row>
    <row r="24" spans="1:52" s="11" customFormat="1">
      <c r="A24" s="17"/>
      <c r="B24" s="6"/>
      <c r="C24" t="s">
        <v>720</v>
      </c>
      <c r="D24"/>
      <c r="E24"/>
      <c r="F24" s="7">
        <v>0</v>
      </c>
      <c r="G24" s="69">
        <v>0</v>
      </c>
      <c r="H24" s="13" t="s">
        <v>4</v>
      </c>
      <c r="I24" s="67"/>
      <c r="J24" s="206">
        <f>G24*I24</f>
        <v>0</v>
      </c>
      <c r="K24"/>
      <c r="L24" s="644">
        <f t="shared" si="2"/>
        <v>0</v>
      </c>
      <c r="M24" s="2"/>
      <c r="N24"/>
      <c r="O24" s="2"/>
      <c r="P24"/>
      <c r="Q24" s="2"/>
      <c r="R24" s="2"/>
      <c r="S24" s="7"/>
      <c r="T24"/>
      <c r="U24"/>
      <c r="V24"/>
      <c r="W24"/>
      <c r="X24"/>
      <c r="Y24"/>
      <c r="Z24" s="69"/>
      <c r="AA24" s="230">
        <f t="shared" si="0"/>
        <v>0</v>
      </c>
      <c r="AB24" s="230">
        <f t="shared" si="0"/>
        <v>0</v>
      </c>
      <c r="AC24" s="230">
        <f t="shared" si="0"/>
        <v>0</v>
      </c>
      <c r="AD24" s="230">
        <f t="shared" si="0"/>
        <v>0</v>
      </c>
      <c r="AE24" s="230">
        <f t="shared" si="0"/>
        <v>0</v>
      </c>
      <c r="AF24" s="230">
        <f t="shared" si="0"/>
        <v>0</v>
      </c>
      <c r="AG24" s="230">
        <f t="shared" si="0"/>
        <v>0</v>
      </c>
      <c r="AH24"/>
      <c r="AI24"/>
      <c r="AJ24"/>
      <c r="AK24" s="83"/>
      <c r="AL24" s="83"/>
      <c r="AN24" s="11">
        <f t="shared" si="1"/>
        <v>0</v>
      </c>
      <c r="AO24" s="11">
        <f t="shared" si="1"/>
        <v>0</v>
      </c>
      <c r="AP24" s="11">
        <f t="shared" si="1"/>
        <v>0</v>
      </c>
      <c r="AQ24" s="11">
        <f t="shared" si="1"/>
        <v>0</v>
      </c>
      <c r="AR24" s="11">
        <f t="shared" si="1"/>
        <v>0</v>
      </c>
      <c r="AS24" s="11">
        <f t="shared" si="1"/>
        <v>0</v>
      </c>
      <c r="AT24" s="11">
        <f t="shared" si="1"/>
        <v>0</v>
      </c>
      <c r="AV24"/>
      <c r="AW24"/>
      <c r="AX24"/>
      <c r="AY24"/>
      <c r="AZ24"/>
    </row>
    <row r="25" spans="1:52" s="11" customFormat="1" ht="14.25" customHeight="1">
      <c r="A25" s="17"/>
      <c r="B25"/>
      <c r="C25" t="s">
        <v>721</v>
      </c>
      <c r="D25"/>
      <c r="E25"/>
      <c r="F25" s="7"/>
      <c r="G25" s="69">
        <f>(G23*(0.45-0.225)*2)+(G24*(0.3+0.3+0.3)*F24)</f>
        <v>80.100000000000009</v>
      </c>
      <c r="H25" s="206" t="s">
        <v>18</v>
      </c>
      <c r="I25" s="67">
        <f>I$15</f>
        <v>42</v>
      </c>
      <c r="J25" s="206">
        <f>G25*I25</f>
        <v>3364.2000000000003</v>
      </c>
      <c r="K25"/>
      <c r="L25" s="644">
        <f t="shared" si="2"/>
        <v>3364.2000000000003</v>
      </c>
      <c r="M25" s="2"/>
      <c r="N25"/>
      <c r="O25" s="2"/>
      <c r="P25"/>
      <c r="Q25" s="2"/>
      <c r="R25" s="2"/>
      <c r="S25" s="7"/>
      <c r="T25"/>
      <c r="U25"/>
      <c r="V25"/>
      <c r="W25"/>
      <c r="X25"/>
      <c r="Y25"/>
      <c r="Z25" s="69"/>
      <c r="AA25" s="230">
        <f t="shared" ref="AA25:AG56" si="3">IF($Y25=AA$7,$Z25,0)</f>
        <v>0</v>
      </c>
      <c r="AB25" s="230">
        <f t="shared" si="3"/>
        <v>0</v>
      </c>
      <c r="AC25" s="230">
        <f t="shared" si="3"/>
        <v>0</v>
      </c>
      <c r="AD25" s="230">
        <f t="shared" si="3"/>
        <v>0</v>
      </c>
      <c r="AE25" s="230">
        <f t="shared" si="3"/>
        <v>0</v>
      </c>
      <c r="AF25" s="230">
        <f t="shared" si="3"/>
        <v>0</v>
      </c>
      <c r="AG25" s="230">
        <f t="shared" si="3"/>
        <v>0</v>
      </c>
      <c r="AH25"/>
      <c r="AI25"/>
      <c r="AJ25"/>
      <c r="AK25" s="83"/>
      <c r="AL25" s="83"/>
      <c r="AN25" s="11">
        <f t="shared" ref="AN25:AT40" si="4">IF($AJ25=AN$7,1,0)</f>
        <v>0</v>
      </c>
      <c r="AO25" s="11">
        <f t="shared" si="4"/>
        <v>0</v>
      </c>
      <c r="AP25" s="11">
        <f t="shared" si="4"/>
        <v>0</v>
      </c>
      <c r="AQ25" s="11">
        <f t="shared" si="4"/>
        <v>0</v>
      </c>
      <c r="AR25" s="11">
        <f t="shared" si="4"/>
        <v>0</v>
      </c>
      <c r="AS25" s="11">
        <f t="shared" si="4"/>
        <v>0</v>
      </c>
      <c r="AT25" s="11">
        <f t="shared" si="4"/>
        <v>0</v>
      </c>
      <c r="AV25"/>
      <c r="AW25"/>
      <c r="AX25"/>
      <c r="AY25"/>
      <c r="AZ25"/>
    </row>
    <row r="26" spans="1:52" s="11" customFormat="1" ht="14.25" customHeight="1">
      <c r="A26" s="17"/>
      <c r="B26" s="6"/>
      <c r="C26"/>
      <c r="D26"/>
      <c r="E26"/>
      <c r="F26" s="7"/>
      <c r="G26" s="69"/>
      <c r="H26" s="206"/>
      <c r="I26" s="67"/>
      <c r="J26" s="206"/>
      <c r="K26"/>
      <c r="L26" s="644">
        <f t="shared" si="2"/>
        <v>0</v>
      </c>
      <c r="M26" s="2"/>
      <c r="N26"/>
      <c r="O26" s="2"/>
      <c r="P26"/>
      <c r="Q26" s="2"/>
      <c r="R26" s="2"/>
      <c r="S26" s="7"/>
      <c r="T26"/>
      <c r="U26"/>
      <c r="V26"/>
      <c r="W26"/>
      <c r="X26"/>
      <c r="Y26"/>
      <c r="Z26" s="69"/>
      <c r="AA26" s="230">
        <f t="shared" si="3"/>
        <v>0</v>
      </c>
      <c r="AB26" s="230">
        <f t="shared" si="3"/>
        <v>0</v>
      </c>
      <c r="AC26" s="230">
        <f t="shared" si="3"/>
        <v>0</v>
      </c>
      <c r="AD26" s="230">
        <f t="shared" si="3"/>
        <v>0</v>
      </c>
      <c r="AE26" s="230">
        <f t="shared" si="3"/>
        <v>0</v>
      </c>
      <c r="AF26" s="230">
        <f t="shared" si="3"/>
        <v>0</v>
      </c>
      <c r="AG26" s="230">
        <f t="shared" si="3"/>
        <v>0</v>
      </c>
      <c r="AH26"/>
      <c r="AI26"/>
      <c r="AJ26"/>
      <c r="AK26" s="83"/>
      <c r="AL26" s="83"/>
      <c r="AN26" s="11">
        <f t="shared" si="4"/>
        <v>0</v>
      </c>
      <c r="AO26" s="11">
        <f t="shared" si="4"/>
        <v>0</v>
      </c>
      <c r="AP26" s="11">
        <f t="shared" si="4"/>
        <v>0</v>
      </c>
      <c r="AQ26" s="11">
        <f t="shared" si="4"/>
        <v>0</v>
      </c>
      <c r="AR26" s="11">
        <f t="shared" si="4"/>
        <v>0</v>
      </c>
      <c r="AS26" s="11">
        <f t="shared" si="4"/>
        <v>0</v>
      </c>
      <c r="AT26" s="11">
        <f t="shared" si="4"/>
        <v>0</v>
      </c>
      <c r="AV26"/>
      <c r="AW26"/>
      <c r="AX26"/>
      <c r="AY26"/>
      <c r="AZ26"/>
    </row>
    <row r="27" spans="1:52" s="11" customFormat="1">
      <c r="A27" s="17"/>
      <c r="B27" t="s">
        <v>725</v>
      </c>
      <c r="C27"/>
      <c r="D27"/>
      <c r="E27"/>
      <c r="F27" s="7"/>
      <c r="G27" s="69"/>
      <c r="H27" s="206"/>
      <c r="I27" s="67"/>
      <c r="J27" s="206"/>
      <c r="K27"/>
      <c r="L27" s="644">
        <f t="shared" si="2"/>
        <v>0</v>
      </c>
      <c r="M27" s="2"/>
      <c r="N27"/>
      <c r="O27" s="2"/>
      <c r="P27"/>
      <c r="Q27" s="2"/>
      <c r="R27" s="2"/>
      <c r="S27" s="7"/>
      <c r="T27"/>
      <c r="U27"/>
      <c r="V27"/>
      <c r="W27"/>
      <c r="X27"/>
      <c r="Y27"/>
      <c r="Z27" s="69"/>
      <c r="AA27" s="230">
        <f t="shared" si="3"/>
        <v>0</v>
      </c>
      <c r="AB27" s="230">
        <f t="shared" si="3"/>
        <v>0</v>
      </c>
      <c r="AC27" s="230">
        <f t="shared" si="3"/>
        <v>0</v>
      </c>
      <c r="AD27" s="230">
        <f t="shared" si="3"/>
        <v>0</v>
      </c>
      <c r="AE27" s="230">
        <f t="shared" si="3"/>
        <v>0</v>
      </c>
      <c r="AF27" s="230">
        <f t="shared" si="3"/>
        <v>0</v>
      </c>
      <c r="AG27" s="230">
        <f t="shared" si="3"/>
        <v>0</v>
      </c>
      <c r="AH27"/>
      <c r="AI27"/>
      <c r="AJ27"/>
      <c r="AK27" s="83"/>
      <c r="AL27" s="83"/>
      <c r="AN27" s="11">
        <f t="shared" si="4"/>
        <v>0</v>
      </c>
      <c r="AO27" s="11">
        <f t="shared" si="4"/>
        <v>0</v>
      </c>
      <c r="AP27" s="11">
        <f t="shared" si="4"/>
        <v>0</v>
      </c>
      <c r="AQ27" s="11">
        <f t="shared" si="4"/>
        <v>0</v>
      </c>
      <c r="AR27" s="11">
        <f t="shared" si="4"/>
        <v>0</v>
      </c>
      <c r="AS27" s="11">
        <f t="shared" si="4"/>
        <v>0</v>
      </c>
      <c r="AT27" s="11">
        <f t="shared" si="4"/>
        <v>0</v>
      </c>
      <c r="AV27"/>
      <c r="AW27"/>
      <c r="AX27"/>
      <c r="AY27"/>
      <c r="AZ27"/>
    </row>
    <row r="28" spans="1:52" s="11" customFormat="1">
      <c r="A28" s="17"/>
      <c r="B28"/>
      <c r="C28" t="s">
        <v>726</v>
      </c>
      <c r="D28"/>
      <c r="E28"/>
      <c r="F28" s="7"/>
      <c r="G28" s="69">
        <v>123</v>
      </c>
      <c r="H28" s="206" t="s">
        <v>4</v>
      </c>
      <c r="I28" s="67">
        <f>230-Z2</f>
        <v>95.123045600000012</v>
      </c>
      <c r="J28" s="206">
        <f>G28*I28</f>
        <v>11700.134608800001</v>
      </c>
      <c r="K28"/>
      <c r="L28" s="644">
        <f t="shared" si="2"/>
        <v>11700.134608800001</v>
      </c>
      <c r="M28" s="2"/>
      <c r="N28"/>
      <c r="O28" s="2"/>
      <c r="P28"/>
      <c r="Q28" s="2"/>
      <c r="R28" s="2"/>
      <c r="S28" s="7"/>
      <c r="T28"/>
      <c r="U28"/>
      <c r="V28"/>
      <c r="W28"/>
      <c r="X28"/>
      <c r="Y28"/>
      <c r="Z28" s="69"/>
      <c r="AA28" s="230">
        <f t="shared" si="3"/>
        <v>0</v>
      </c>
      <c r="AB28" s="230">
        <f t="shared" si="3"/>
        <v>0</v>
      </c>
      <c r="AC28" s="230">
        <f t="shared" si="3"/>
        <v>0</v>
      </c>
      <c r="AD28" s="230">
        <f t="shared" si="3"/>
        <v>0</v>
      </c>
      <c r="AE28" s="230">
        <f t="shared" si="3"/>
        <v>0</v>
      </c>
      <c r="AF28" s="230">
        <f t="shared" si="3"/>
        <v>0</v>
      </c>
      <c r="AG28" s="230">
        <f t="shared" si="3"/>
        <v>0</v>
      </c>
      <c r="AH28"/>
      <c r="AI28"/>
      <c r="AJ28"/>
      <c r="AK28" s="83"/>
      <c r="AL28" s="83"/>
      <c r="AN28" s="11">
        <f t="shared" si="4"/>
        <v>0</v>
      </c>
      <c r="AO28" s="11">
        <f t="shared" si="4"/>
        <v>0</v>
      </c>
      <c r="AP28" s="11">
        <f t="shared" si="4"/>
        <v>0</v>
      </c>
      <c r="AQ28" s="11">
        <f t="shared" si="4"/>
        <v>0</v>
      </c>
      <c r="AR28" s="11">
        <f t="shared" si="4"/>
        <v>0</v>
      </c>
      <c r="AS28" s="11">
        <f t="shared" si="4"/>
        <v>0</v>
      </c>
      <c r="AT28" s="11">
        <f t="shared" si="4"/>
        <v>0</v>
      </c>
      <c r="AV28"/>
      <c r="AW28"/>
      <c r="AX28"/>
      <c r="AY28"/>
      <c r="AZ28"/>
    </row>
    <row r="29" spans="1:52" s="11" customFormat="1">
      <c r="A29" s="17"/>
      <c r="B29" s="6"/>
      <c r="C29" t="s">
        <v>720</v>
      </c>
      <c r="D29"/>
      <c r="E29"/>
      <c r="F29" s="7">
        <v>0</v>
      </c>
      <c r="G29" s="69">
        <v>0</v>
      </c>
      <c r="H29" s="13" t="s">
        <v>4</v>
      </c>
      <c r="I29" s="67"/>
      <c r="J29" s="206">
        <f>G29*I29</f>
        <v>0</v>
      </c>
      <c r="K29"/>
      <c r="L29" s="644">
        <f t="shared" si="2"/>
        <v>0</v>
      </c>
      <c r="M29" s="2"/>
      <c r="N29"/>
      <c r="O29" s="2"/>
      <c r="P29"/>
      <c r="Q29" s="2"/>
      <c r="R29" s="2"/>
      <c r="S29" s="7"/>
      <c r="T29"/>
      <c r="U29"/>
      <c r="V29"/>
      <c r="W29"/>
      <c r="X29"/>
      <c r="Y29"/>
      <c r="Z29" s="69"/>
      <c r="AA29" s="230">
        <f t="shared" si="3"/>
        <v>0</v>
      </c>
      <c r="AB29" s="230">
        <f t="shared" si="3"/>
        <v>0</v>
      </c>
      <c r="AC29" s="230">
        <f t="shared" si="3"/>
        <v>0</v>
      </c>
      <c r="AD29" s="230">
        <f t="shared" si="3"/>
        <v>0</v>
      </c>
      <c r="AE29" s="230">
        <f t="shared" si="3"/>
        <v>0</v>
      </c>
      <c r="AF29" s="230">
        <f t="shared" si="3"/>
        <v>0</v>
      </c>
      <c r="AG29" s="230">
        <f t="shared" si="3"/>
        <v>0</v>
      </c>
      <c r="AH29"/>
      <c r="AI29"/>
      <c r="AJ29"/>
      <c r="AK29" s="83"/>
      <c r="AL29" s="83"/>
      <c r="AN29" s="11">
        <f t="shared" si="4"/>
        <v>0</v>
      </c>
      <c r="AO29" s="11">
        <f t="shared" si="4"/>
        <v>0</v>
      </c>
      <c r="AP29" s="11">
        <f t="shared" si="4"/>
        <v>0</v>
      </c>
      <c r="AQ29" s="11">
        <f t="shared" si="4"/>
        <v>0</v>
      </c>
      <c r="AR29" s="11">
        <f t="shared" si="4"/>
        <v>0</v>
      </c>
      <c r="AS29" s="11">
        <f t="shared" si="4"/>
        <v>0</v>
      </c>
      <c r="AT29" s="11">
        <f t="shared" si="4"/>
        <v>0</v>
      </c>
      <c r="AV29"/>
      <c r="AW29"/>
      <c r="AX29"/>
      <c r="AY29"/>
      <c r="AZ29"/>
    </row>
    <row r="30" spans="1:52" s="11" customFormat="1">
      <c r="A30" s="17"/>
      <c r="B30"/>
      <c r="C30" t="s">
        <v>721</v>
      </c>
      <c r="D30"/>
      <c r="E30"/>
      <c r="F30" s="7"/>
      <c r="G30" s="69">
        <f>(G28*(0.525-0.225)*2)+(G29*(0.3+0.3+0.3)*F29)</f>
        <v>73.800000000000011</v>
      </c>
      <c r="H30" s="206" t="s">
        <v>18</v>
      </c>
      <c r="I30" s="67">
        <f>I$15</f>
        <v>42</v>
      </c>
      <c r="J30" s="206">
        <f>G30*I30</f>
        <v>3099.6000000000004</v>
      </c>
      <c r="K30"/>
      <c r="L30" s="644">
        <f t="shared" si="2"/>
        <v>3099.6000000000004</v>
      </c>
      <c r="M30" s="2"/>
      <c r="N30"/>
      <c r="O30" s="2"/>
      <c r="P30"/>
      <c r="Q30" s="2"/>
      <c r="R30" s="2"/>
      <c r="S30" s="7"/>
      <c r="T30"/>
      <c r="U30"/>
      <c r="V30"/>
      <c r="W30"/>
      <c r="X30"/>
      <c r="Y30"/>
      <c r="Z30" s="69"/>
      <c r="AA30" s="230">
        <f t="shared" si="3"/>
        <v>0</v>
      </c>
      <c r="AB30" s="230">
        <f t="shared" si="3"/>
        <v>0</v>
      </c>
      <c r="AC30" s="230">
        <f t="shared" si="3"/>
        <v>0</v>
      </c>
      <c r="AD30" s="230">
        <f t="shared" si="3"/>
        <v>0</v>
      </c>
      <c r="AE30" s="230">
        <f t="shared" si="3"/>
        <v>0</v>
      </c>
      <c r="AF30" s="230">
        <f t="shared" si="3"/>
        <v>0</v>
      </c>
      <c r="AG30" s="230">
        <f t="shared" si="3"/>
        <v>0</v>
      </c>
      <c r="AH30"/>
      <c r="AI30"/>
      <c r="AJ30"/>
      <c r="AK30" s="83"/>
      <c r="AL30" s="83"/>
      <c r="AN30" s="11">
        <f t="shared" si="4"/>
        <v>0</v>
      </c>
      <c r="AO30" s="11">
        <f t="shared" si="4"/>
        <v>0</v>
      </c>
      <c r="AP30" s="11">
        <f t="shared" si="4"/>
        <v>0</v>
      </c>
      <c r="AQ30" s="11">
        <f t="shared" si="4"/>
        <v>0</v>
      </c>
      <c r="AR30" s="11">
        <f t="shared" si="4"/>
        <v>0</v>
      </c>
      <c r="AS30" s="11">
        <f t="shared" si="4"/>
        <v>0</v>
      </c>
      <c r="AT30" s="11">
        <f t="shared" si="4"/>
        <v>0</v>
      </c>
      <c r="AV30"/>
    </row>
    <row r="31" spans="1:52" s="11" customFormat="1">
      <c r="A31" s="17"/>
      <c r="B31" s="6"/>
      <c r="C31"/>
      <c r="D31"/>
      <c r="E31"/>
      <c r="F31" s="7"/>
      <c r="G31" s="69"/>
      <c r="H31" s="206"/>
      <c r="I31" s="67"/>
      <c r="J31" s="206"/>
      <c r="K31"/>
      <c r="L31" s="644">
        <f t="shared" si="2"/>
        <v>0</v>
      </c>
      <c r="M31" s="2"/>
      <c r="N31"/>
      <c r="O31" s="2"/>
      <c r="P31"/>
      <c r="Q31" s="2"/>
      <c r="R31" s="2"/>
      <c r="S31" s="7"/>
      <c r="T31"/>
      <c r="U31"/>
      <c r="V31"/>
      <c r="W31"/>
      <c r="X31"/>
      <c r="Y31"/>
      <c r="Z31" s="69"/>
      <c r="AA31" s="230">
        <f t="shared" si="3"/>
        <v>0</v>
      </c>
      <c r="AB31" s="230">
        <f t="shared" si="3"/>
        <v>0</v>
      </c>
      <c r="AC31" s="230">
        <f t="shared" si="3"/>
        <v>0</v>
      </c>
      <c r="AD31" s="230">
        <f t="shared" si="3"/>
        <v>0</v>
      </c>
      <c r="AE31" s="230">
        <f t="shared" si="3"/>
        <v>0</v>
      </c>
      <c r="AF31" s="230">
        <f t="shared" si="3"/>
        <v>0</v>
      </c>
      <c r="AG31" s="230">
        <f t="shared" si="3"/>
        <v>0</v>
      </c>
      <c r="AH31"/>
      <c r="AI31"/>
      <c r="AJ31"/>
      <c r="AK31" s="83"/>
      <c r="AL31" s="83"/>
      <c r="AN31" s="11">
        <f t="shared" si="4"/>
        <v>0</v>
      </c>
      <c r="AO31" s="11">
        <f t="shared" si="4"/>
        <v>0</v>
      </c>
      <c r="AP31" s="11">
        <f t="shared" si="4"/>
        <v>0</v>
      </c>
      <c r="AQ31" s="11">
        <f t="shared" si="4"/>
        <v>0</v>
      </c>
      <c r="AR31" s="11">
        <f t="shared" si="4"/>
        <v>0</v>
      </c>
      <c r="AS31" s="11">
        <f t="shared" si="4"/>
        <v>0</v>
      </c>
      <c r="AT31" s="11">
        <f t="shared" si="4"/>
        <v>0</v>
      </c>
      <c r="AV31"/>
    </row>
    <row r="32" spans="1:52" s="11" customFormat="1">
      <c r="A32" s="17"/>
      <c r="B32" t="s">
        <v>727</v>
      </c>
      <c r="C32"/>
      <c r="D32"/>
      <c r="E32"/>
      <c r="F32" s="7"/>
      <c r="G32" s="69"/>
      <c r="H32" s="206"/>
      <c r="I32" s="67"/>
      <c r="J32" s="206"/>
      <c r="K32"/>
      <c r="L32" s="644">
        <f t="shared" si="2"/>
        <v>0</v>
      </c>
      <c r="M32" s="2"/>
      <c r="N32"/>
      <c r="O32" s="2"/>
      <c r="P32"/>
      <c r="Q32" s="2"/>
      <c r="R32" s="2"/>
      <c r="S32" s="7"/>
      <c r="T32"/>
      <c r="U32"/>
      <c r="V32"/>
      <c r="W32"/>
      <c r="X32"/>
      <c r="Y32"/>
      <c r="Z32" s="69"/>
      <c r="AA32" s="230">
        <f t="shared" si="3"/>
        <v>0</v>
      </c>
      <c r="AB32" s="230">
        <f t="shared" si="3"/>
        <v>0</v>
      </c>
      <c r="AC32" s="230">
        <f t="shared" si="3"/>
        <v>0</v>
      </c>
      <c r="AD32" s="230">
        <f t="shared" si="3"/>
        <v>0</v>
      </c>
      <c r="AE32" s="230">
        <f t="shared" si="3"/>
        <v>0</v>
      </c>
      <c r="AF32" s="230">
        <f t="shared" si="3"/>
        <v>0</v>
      </c>
      <c r="AG32" s="230">
        <f t="shared" si="3"/>
        <v>0</v>
      </c>
      <c r="AH32"/>
      <c r="AI32"/>
      <c r="AJ32"/>
      <c r="AK32" s="83"/>
      <c r="AL32" s="83"/>
      <c r="AN32" s="11">
        <f t="shared" si="4"/>
        <v>0</v>
      </c>
      <c r="AO32" s="11">
        <f t="shared" si="4"/>
        <v>0</v>
      </c>
      <c r="AP32" s="11">
        <f t="shared" si="4"/>
        <v>0</v>
      </c>
      <c r="AQ32" s="11">
        <f t="shared" si="4"/>
        <v>0</v>
      </c>
      <c r="AR32" s="11">
        <f t="shared" si="4"/>
        <v>0</v>
      </c>
      <c r="AS32" s="11">
        <f t="shared" si="4"/>
        <v>0</v>
      </c>
      <c r="AT32" s="11">
        <f t="shared" si="4"/>
        <v>0</v>
      </c>
      <c r="AV32"/>
    </row>
    <row r="33" spans="1:59">
      <c r="A33" s="17"/>
      <c r="C33" t="s">
        <v>728</v>
      </c>
      <c r="F33" s="7"/>
      <c r="G33" s="69">
        <v>96</v>
      </c>
      <c r="H33" s="206" t="s">
        <v>4</v>
      </c>
      <c r="I33" s="67">
        <f>330-Z2</f>
        <v>195.12304560000001</v>
      </c>
      <c r="J33" s="206">
        <f>G33*I33</f>
        <v>18731.812377599999</v>
      </c>
      <c r="L33" s="644">
        <f t="shared" si="2"/>
        <v>18731.812377599999</v>
      </c>
      <c r="M33" s="2"/>
      <c r="O33" s="2"/>
      <c r="Q33" s="2"/>
      <c r="R33" s="2"/>
      <c r="S33" s="7"/>
      <c r="AA33" s="230">
        <f t="shared" si="3"/>
        <v>0</v>
      </c>
      <c r="AB33" s="230">
        <f t="shared" si="3"/>
        <v>0</v>
      </c>
      <c r="AC33" s="230">
        <f t="shared" si="3"/>
        <v>0</v>
      </c>
      <c r="AD33" s="230">
        <f t="shared" si="3"/>
        <v>0</v>
      </c>
      <c r="AE33" s="230">
        <f t="shared" si="3"/>
        <v>0</v>
      </c>
      <c r="AF33" s="230">
        <f t="shared" si="3"/>
        <v>0</v>
      </c>
      <c r="AG33" s="230">
        <f t="shared" si="3"/>
        <v>0</v>
      </c>
      <c r="AN33" s="11">
        <f t="shared" si="4"/>
        <v>0</v>
      </c>
      <c r="AO33" s="11">
        <f t="shared" si="4"/>
        <v>0</v>
      </c>
      <c r="AP33" s="11">
        <f t="shared" si="4"/>
        <v>0</v>
      </c>
      <c r="AQ33" s="11">
        <f t="shared" si="4"/>
        <v>0</v>
      </c>
      <c r="AR33" s="11">
        <f t="shared" si="4"/>
        <v>0</v>
      </c>
      <c r="AS33" s="11">
        <f t="shared" si="4"/>
        <v>0</v>
      </c>
      <c r="AT33" s="11">
        <f t="shared" si="4"/>
        <v>0</v>
      </c>
    </row>
    <row r="34" spans="1:59">
      <c r="A34" s="17"/>
      <c r="B34" s="6"/>
      <c r="C34" t="s">
        <v>720</v>
      </c>
      <c r="F34" s="7">
        <v>0</v>
      </c>
      <c r="G34" s="69">
        <v>0</v>
      </c>
      <c r="H34" s="13" t="s">
        <v>4</v>
      </c>
      <c r="I34" s="67"/>
      <c r="J34" s="206">
        <f>G34*I34</f>
        <v>0</v>
      </c>
      <c r="L34" s="644">
        <f t="shared" si="2"/>
        <v>0</v>
      </c>
      <c r="M34" s="2"/>
      <c r="O34" s="2"/>
      <c r="P34" s="2"/>
      <c r="Q34" s="2"/>
      <c r="R34" s="2"/>
      <c r="S34" s="7"/>
      <c r="AA34" s="230">
        <f t="shared" si="3"/>
        <v>0</v>
      </c>
      <c r="AB34" s="230">
        <f t="shared" si="3"/>
        <v>0</v>
      </c>
      <c r="AC34" s="230">
        <f t="shared" si="3"/>
        <v>0</v>
      </c>
      <c r="AD34" s="230">
        <f t="shared" si="3"/>
        <v>0</v>
      </c>
      <c r="AE34" s="230">
        <f t="shared" si="3"/>
        <v>0</v>
      </c>
      <c r="AF34" s="230">
        <f t="shared" si="3"/>
        <v>0</v>
      </c>
      <c r="AG34" s="230">
        <f t="shared" si="3"/>
        <v>0</v>
      </c>
      <c r="AN34" s="11">
        <f t="shared" si="4"/>
        <v>0</v>
      </c>
      <c r="AO34" s="11">
        <f t="shared" si="4"/>
        <v>0</v>
      </c>
      <c r="AP34" s="11">
        <f t="shared" si="4"/>
        <v>0</v>
      </c>
      <c r="AQ34" s="11">
        <f t="shared" si="4"/>
        <v>0</v>
      </c>
      <c r="AR34" s="11">
        <f t="shared" si="4"/>
        <v>0</v>
      </c>
      <c r="AS34" s="11">
        <f t="shared" si="4"/>
        <v>0</v>
      </c>
      <c r="AT34" s="11">
        <f t="shared" si="4"/>
        <v>0</v>
      </c>
      <c r="AY34" s="11"/>
      <c r="AZ34" s="11"/>
      <c r="BC34" s="11"/>
      <c r="BD34" s="11"/>
      <c r="BE34" s="11"/>
      <c r="BF34" s="11"/>
      <c r="BG34" s="11"/>
    </row>
    <row r="35" spans="1:59">
      <c r="A35" s="17"/>
      <c r="C35" t="s">
        <v>721</v>
      </c>
      <c r="F35" s="7"/>
      <c r="G35" s="69">
        <f>(G33*(0.6-0.225)*2)+(G34*(0.3+0.3+0.3)*F34)</f>
        <v>72</v>
      </c>
      <c r="H35" s="206" t="s">
        <v>18</v>
      </c>
      <c r="I35" s="67">
        <f>I$15</f>
        <v>42</v>
      </c>
      <c r="J35" s="206">
        <f>G35*I35</f>
        <v>3024</v>
      </c>
      <c r="L35" s="644">
        <f t="shared" si="2"/>
        <v>3024</v>
      </c>
      <c r="M35" s="2"/>
      <c r="O35" s="2"/>
      <c r="Q35" s="2"/>
      <c r="R35" s="2"/>
      <c r="S35" s="7"/>
      <c r="AA35" s="230">
        <f t="shared" si="3"/>
        <v>0</v>
      </c>
      <c r="AB35" s="230">
        <f t="shared" si="3"/>
        <v>0</v>
      </c>
      <c r="AC35" s="230">
        <f t="shared" si="3"/>
        <v>0</v>
      </c>
      <c r="AD35" s="230">
        <f t="shared" si="3"/>
        <v>0</v>
      </c>
      <c r="AE35" s="230">
        <f t="shared" si="3"/>
        <v>0</v>
      </c>
      <c r="AF35" s="230">
        <f t="shared" si="3"/>
        <v>0</v>
      </c>
      <c r="AG35" s="230">
        <f t="shared" si="3"/>
        <v>0</v>
      </c>
      <c r="AN35" s="11">
        <f t="shared" si="4"/>
        <v>0</v>
      </c>
      <c r="AO35" s="11">
        <f t="shared" si="4"/>
        <v>0</v>
      </c>
      <c r="AP35" s="11">
        <f t="shared" si="4"/>
        <v>0</v>
      </c>
      <c r="AQ35" s="11">
        <f t="shared" si="4"/>
        <v>0</v>
      </c>
      <c r="AR35" s="11">
        <f t="shared" si="4"/>
        <v>0</v>
      </c>
      <c r="AS35" s="11">
        <f t="shared" si="4"/>
        <v>0</v>
      </c>
      <c r="AT35" s="11">
        <f t="shared" si="4"/>
        <v>0</v>
      </c>
    </row>
    <row r="36" spans="1:59">
      <c r="A36" s="17"/>
      <c r="B36" s="6"/>
      <c r="F36" s="7"/>
      <c r="G36" s="69"/>
      <c r="H36" s="206"/>
      <c r="I36" s="67"/>
      <c r="J36" s="206"/>
      <c r="L36" s="644">
        <f t="shared" si="2"/>
        <v>0</v>
      </c>
      <c r="M36" s="2"/>
      <c r="O36" s="2"/>
      <c r="Q36" s="2"/>
      <c r="R36" s="2"/>
      <c r="S36" s="7"/>
      <c r="AA36" s="230">
        <f t="shared" si="3"/>
        <v>0</v>
      </c>
      <c r="AB36" s="230">
        <f t="shared" si="3"/>
        <v>0</v>
      </c>
      <c r="AC36" s="230">
        <f t="shared" si="3"/>
        <v>0</v>
      </c>
      <c r="AD36" s="230">
        <f t="shared" si="3"/>
        <v>0</v>
      </c>
      <c r="AE36" s="230">
        <f t="shared" si="3"/>
        <v>0</v>
      </c>
      <c r="AF36" s="230">
        <f t="shared" si="3"/>
        <v>0</v>
      </c>
      <c r="AG36" s="230">
        <f t="shared" si="3"/>
        <v>0</v>
      </c>
      <c r="AN36" s="11">
        <f t="shared" si="4"/>
        <v>0</v>
      </c>
      <c r="AO36" s="11">
        <f t="shared" si="4"/>
        <v>0</v>
      </c>
      <c r="AP36" s="11">
        <f t="shared" si="4"/>
        <v>0</v>
      </c>
      <c r="AQ36" s="11">
        <f t="shared" si="4"/>
        <v>0</v>
      </c>
      <c r="AR36" s="11">
        <f t="shared" si="4"/>
        <v>0</v>
      </c>
      <c r="AS36" s="11">
        <f t="shared" si="4"/>
        <v>0</v>
      </c>
      <c r="AT36" s="11">
        <f t="shared" si="4"/>
        <v>0</v>
      </c>
      <c r="AY36" s="11"/>
      <c r="AZ36" s="11"/>
      <c r="BC36" s="11"/>
      <c r="BD36" s="11"/>
      <c r="BE36" s="11"/>
      <c r="BF36" s="11"/>
      <c r="BG36" s="11"/>
    </row>
    <row r="37" spans="1:59">
      <c r="A37" s="17"/>
      <c r="B37" t="s">
        <v>729</v>
      </c>
      <c r="F37" s="7"/>
      <c r="G37" s="69"/>
      <c r="H37" s="206"/>
      <c r="I37" s="67"/>
      <c r="J37" s="206"/>
      <c r="L37" s="644">
        <f t="shared" si="2"/>
        <v>0</v>
      </c>
      <c r="M37" s="2"/>
      <c r="O37" s="2"/>
      <c r="Q37" s="2"/>
      <c r="R37" s="2"/>
      <c r="S37" s="7"/>
      <c r="AA37" s="230">
        <f t="shared" si="3"/>
        <v>0</v>
      </c>
      <c r="AB37" s="230">
        <f t="shared" si="3"/>
        <v>0</v>
      </c>
      <c r="AC37" s="230">
        <f t="shared" si="3"/>
        <v>0</v>
      </c>
      <c r="AD37" s="230">
        <f t="shared" si="3"/>
        <v>0</v>
      </c>
      <c r="AE37" s="230">
        <f t="shared" si="3"/>
        <v>0</v>
      </c>
      <c r="AF37" s="230">
        <f t="shared" si="3"/>
        <v>0</v>
      </c>
      <c r="AG37" s="230">
        <f t="shared" si="3"/>
        <v>0</v>
      </c>
      <c r="AN37" s="11">
        <f t="shared" si="4"/>
        <v>0</v>
      </c>
      <c r="AO37" s="11">
        <f t="shared" si="4"/>
        <v>0</v>
      </c>
      <c r="AP37" s="11">
        <f t="shared" si="4"/>
        <v>0</v>
      </c>
      <c r="AQ37" s="11">
        <f t="shared" si="4"/>
        <v>0</v>
      </c>
      <c r="AR37" s="11">
        <f t="shared" si="4"/>
        <v>0</v>
      </c>
      <c r="AS37" s="11">
        <f t="shared" si="4"/>
        <v>0</v>
      </c>
      <c r="AT37" s="11">
        <f t="shared" si="4"/>
        <v>0</v>
      </c>
    </row>
    <row r="38" spans="1:59">
      <c r="A38" s="17"/>
      <c r="C38" t="s">
        <v>730</v>
      </c>
      <c r="F38" s="7"/>
      <c r="G38" s="69"/>
      <c r="H38" s="206" t="s">
        <v>4</v>
      </c>
      <c r="I38" s="67">
        <f>344-Z2</f>
        <v>209.12304560000001</v>
      </c>
      <c r="J38" s="206">
        <f>G38*I38</f>
        <v>0</v>
      </c>
      <c r="L38" s="644">
        <f t="shared" si="2"/>
        <v>0</v>
      </c>
      <c r="M38" s="2"/>
      <c r="O38" s="2"/>
      <c r="Q38" s="2"/>
      <c r="R38" s="2"/>
      <c r="S38" s="7"/>
      <c r="AA38" s="230">
        <f t="shared" si="3"/>
        <v>0</v>
      </c>
      <c r="AB38" s="230">
        <f t="shared" si="3"/>
        <v>0</v>
      </c>
      <c r="AC38" s="230">
        <f t="shared" si="3"/>
        <v>0</v>
      </c>
      <c r="AD38" s="230">
        <f t="shared" si="3"/>
        <v>0</v>
      </c>
      <c r="AE38" s="230">
        <f t="shared" si="3"/>
        <v>0</v>
      </c>
      <c r="AF38" s="230">
        <f t="shared" si="3"/>
        <v>0</v>
      </c>
      <c r="AG38" s="230">
        <f t="shared" si="3"/>
        <v>0</v>
      </c>
      <c r="AN38" s="11">
        <f t="shared" si="4"/>
        <v>0</v>
      </c>
      <c r="AO38" s="11">
        <f t="shared" si="4"/>
        <v>0</v>
      </c>
      <c r="AP38" s="11">
        <f t="shared" si="4"/>
        <v>0</v>
      </c>
      <c r="AQ38" s="11">
        <f t="shared" si="4"/>
        <v>0</v>
      </c>
      <c r="AR38" s="11">
        <f t="shared" si="4"/>
        <v>0</v>
      </c>
      <c r="AS38" s="11">
        <f t="shared" si="4"/>
        <v>0</v>
      </c>
      <c r="AT38" s="11">
        <f t="shared" si="4"/>
        <v>0</v>
      </c>
      <c r="AY38" s="11"/>
      <c r="AZ38" s="11"/>
      <c r="BC38" s="11"/>
      <c r="BD38" s="11"/>
      <c r="BE38" s="11"/>
      <c r="BF38" s="11"/>
      <c r="BG38" s="11"/>
    </row>
    <row r="39" spans="1:59">
      <c r="A39" s="17"/>
      <c r="B39" s="6"/>
      <c r="C39" t="s">
        <v>720</v>
      </c>
      <c r="F39" s="7">
        <v>0</v>
      </c>
      <c r="G39" s="69">
        <v>0</v>
      </c>
      <c r="H39" s="13" t="s">
        <v>4</v>
      </c>
      <c r="I39" s="67"/>
      <c r="J39" s="206">
        <f>G39*I39</f>
        <v>0</v>
      </c>
      <c r="L39" s="644">
        <f t="shared" si="2"/>
        <v>0</v>
      </c>
      <c r="M39" s="2"/>
      <c r="O39" s="2"/>
      <c r="Q39" s="2"/>
      <c r="R39" s="2"/>
      <c r="S39" s="7"/>
      <c r="AA39" s="230">
        <f t="shared" si="3"/>
        <v>0</v>
      </c>
      <c r="AB39" s="230">
        <f t="shared" si="3"/>
        <v>0</v>
      </c>
      <c r="AC39" s="230">
        <f t="shared" si="3"/>
        <v>0</v>
      </c>
      <c r="AD39" s="230">
        <f t="shared" si="3"/>
        <v>0</v>
      </c>
      <c r="AE39" s="230">
        <f t="shared" si="3"/>
        <v>0</v>
      </c>
      <c r="AF39" s="230">
        <f t="shared" si="3"/>
        <v>0</v>
      </c>
      <c r="AG39" s="230">
        <f t="shared" si="3"/>
        <v>0</v>
      </c>
      <c r="AN39" s="11">
        <f t="shared" si="4"/>
        <v>0</v>
      </c>
      <c r="AO39" s="11">
        <f t="shared" si="4"/>
        <v>0</v>
      </c>
      <c r="AP39" s="11">
        <f t="shared" si="4"/>
        <v>0</v>
      </c>
      <c r="AQ39" s="11">
        <f t="shared" si="4"/>
        <v>0</v>
      </c>
      <c r="AR39" s="11">
        <f t="shared" si="4"/>
        <v>0</v>
      </c>
      <c r="AS39" s="11">
        <f t="shared" si="4"/>
        <v>0</v>
      </c>
      <c r="AT39" s="11">
        <f t="shared" si="4"/>
        <v>0</v>
      </c>
    </row>
    <row r="40" spans="1:59">
      <c r="A40" s="17"/>
      <c r="C40" t="s">
        <v>721</v>
      </c>
      <c r="F40" s="7"/>
      <c r="G40" s="69">
        <f>(G38*(0.75-0.225)*2)+(G39*(0.3+0.3+0.3)*F39)</f>
        <v>0</v>
      </c>
      <c r="H40" s="206" t="s">
        <v>18</v>
      </c>
      <c r="I40" s="67">
        <f>I$15</f>
        <v>42</v>
      </c>
      <c r="J40" s="206">
        <f>G40*I40</f>
        <v>0</v>
      </c>
      <c r="L40" s="644">
        <f t="shared" si="2"/>
        <v>0</v>
      </c>
      <c r="M40" s="2"/>
      <c r="O40" s="2"/>
      <c r="Q40" s="2"/>
      <c r="R40" s="2"/>
      <c r="S40" s="7"/>
      <c r="AA40" s="230">
        <f t="shared" si="3"/>
        <v>0</v>
      </c>
      <c r="AB40" s="230">
        <f t="shared" si="3"/>
        <v>0</v>
      </c>
      <c r="AC40" s="230">
        <f t="shared" si="3"/>
        <v>0</v>
      </c>
      <c r="AD40" s="230">
        <f t="shared" si="3"/>
        <v>0</v>
      </c>
      <c r="AE40" s="230">
        <f t="shared" si="3"/>
        <v>0</v>
      </c>
      <c r="AF40" s="230">
        <f t="shared" si="3"/>
        <v>0</v>
      </c>
      <c r="AG40" s="230">
        <f t="shared" si="3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Y40" s="11"/>
      <c r="AZ40" s="11"/>
      <c r="BC40" s="11"/>
      <c r="BD40" s="11"/>
      <c r="BE40" s="11"/>
      <c r="BF40" s="11"/>
      <c r="BG40" s="11"/>
    </row>
    <row r="41" spans="1:59">
      <c r="A41" s="17"/>
      <c r="B41" s="6"/>
      <c r="F41" s="7"/>
      <c r="G41" s="69"/>
      <c r="H41" s="206"/>
      <c r="I41" s="67"/>
      <c r="J41" s="206"/>
      <c r="L41" s="644">
        <f t="shared" si="2"/>
        <v>0</v>
      </c>
      <c r="M41" s="2"/>
      <c r="O41" s="2"/>
      <c r="Q41" s="2"/>
      <c r="R41" s="2"/>
      <c r="S41" s="7"/>
      <c r="AA41" s="230">
        <f t="shared" si="3"/>
        <v>0</v>
      </c>
      <c r="AB41" s="230">
        <f t="shared" si="3"/>
        <v>0</v>
      </c>
      <c r="AC41" s="230">
        <f t="shared" si="3"/>
        <v>0</v>
      </c>
      <c r="AD41" s="230">
        <f t="shared" si="3"/>
        <v>0</v>
      </c>
      <c r="AE41" s="230">
        <f t="shared" si="3"/>
        <v>0</v>
      </c>
      <c r="AF41" s="230">
        <f t="shared" si="3"/>
        <v>0</v>
      </c>
      <c r="AG41" s="230">
        <f t="shared" si="3"/>
        <v>0</v>
      </c>
      <c r="AN41" s="11">
        <f t="shared" ref="AN41:AT56" si="5">IF($AJ41=AN$7,1,0)</f>
        <v>0</v>
      </c>
      <c r="AO41" s="11">
        <f t="shared" si="5"/>
        <v>0</v>
      </c>
      <c r="AP41" s="11">
        <f t="shared" si="5"/>
        <v>0</v>
      </c>
      <c r="AQ41" s="11">
        <f t="shared" si="5"/>
        <v>0</v>
      </c>
      <c r="AR41" s="11">
        <f t="shared" si="5"/>
        <v>0</v>
      </c>
      <c r="AS41" s="11">
        <f t="shared" si="5"/>
        <v>0</v>
      </c>
      <c r="AT41" s="11">
        <f t="shared" si="5"/>
        <v>0</v>
      </c>
    </row>
    <row r="42" spans="1:59">
      <c r="A42" s="17"/>
      <c r="B42" t="s">
        <v>731</v>
      </c>
      <c r="F42" s="7"/>
      <c r="G42" s="69"/>
      <c r="H42" s="206"/>
      <c r="I42" s="67"/>
      <c r="J42" s="206"/>
      <c r="L42" s="644">
        <f t="shared" si="2"/>
        <v>0</v>
      </c>
      <c r="M42" s="2"/>
      <c r="O42" s="2"/>
      <c r="Q42" s="2"/>
      <c r="R42" s="2"/>
      <c r="S42" s="7"/>
      <c r="AA42" s="230">
        <f t="shared" si="3"/>
        <v>0</v>
      </c>
      <c r="AB42" s="230">
        <f t="shared" si="3"/>
        <v>0</v>
      </c>
      <c r="AC42" s="230">
        <f t="shared" si="3"/>
        <v>0</v>
      </c>
      <c r="AD42" s="230">
        <f t="shared" si="3"/>
        <v>0</v>
      </c>
      <c r="AE42" s="230">
        <f t="shared" si="3"/>
        <v>0</v>
      </c>
      <c r="AF42" s="230">
        <f t="shared" si="3"/>
        <v>0</v>
      </c>
      <c r="AG42" s="230">
        <f t="shared" si="3"/>
        <v>0</v>
      </c>
      <c r="AN42" s="11">
        <f t="shared" si="5"/>
        <v>0</v>
      </c>
      <c r="AO42" s="11">
        <f t="shared" si="5"/>
        <v>0</v>
      </c>
      <c r="AP42" s="11">
        <f t="shared" si="5"/>
        <v>0</v>
      </c>
      <c r="AQ42" s="11">
        <f t="shared" si="5"/>
        <v>0</v>
      </c>
      <c r="AR42" s="11">
        <f t="shared" si="5"/>
        <v>0</v>
      </c>
      <c r="AS42" s="11">
        <f t="shared" si="5"/>
        <v>0</v>
      </c>
      <c r="AT42" s="11">
        <f t="shared" si="5"/>
        <v>0</v>
      </c>
      <c r="AY42" s="11"/>
      <c r="AZ42" s="11"/>
      <c r="BC42" s="11"/>
      <c r="BD42" s="11"/>
      <c r="BE42" s="11"/>
      <c r="BF42" s="11"/>
      <c r="BG42" s="11"/>
    </row>
    <row r="43" spans="1:59">
      <c r="A43" s="17"/>
      <c r="C43" t="s">
        <v>732</v>
      </c>
      <c r="F43" s="7"/>
      <c r="G43">
        <v>35</v>
      </c>
      <c r="H43" s="206" t="s">
        <v>4</v>
      </c>
      <c r="I43" s="67">
        <f>419-Z2</f>
        <v>284.12304560000001</v>
      </c>
      <c r="J43" s="206">
        <f>G43*I43</f>
        <v>9944.3065960000004</v>
      </c>
      <c r="L43" s="644">
        <f t="shared" si="2"/>
        <v>9944.3065960000004</v>
      </c>
      <c r="M43" s="2"/>
      <c r="O43" s="2"/>
      <c r="Q43" s="2"/>
      <c r="R43" s="2"/>
      <c r="S43" s="7"/>
      <c r="AA43" s="230">
        <f t="shared" si="3"/>
        <v>0</v>
      </c>
      <c r="AB43" s="230">
        <f t="shared" si="3"/>
        <v>0</v>
      </c>
      <c r="AC43" s="230">
        <f t="shared" si="3"/>
        <v>0</v>
      </c>
      <c r="AD43" s="230">
        <f t="shared" si="3"/>
        <v>0</v>
      </c>
      <c r="AE43" s="230">
        <f t="shared" si="3"/>
        <v>0</v>
      </c>
      <c r="AF43" s="230">
        <f t="shared" si="3"/>
        <v>0</v>
      </c>
      <c r="AG43" s="230">
        <f t="shared" si="3"/>
        <v>0</v>
      </c>
      <c r="AN43" s="11">
        <f t="shared" si="5"/>
        <v>0</v>
      </c>
      <c r="AO43" s="11">
        <f t="shared" si="5"/>
        <v>0</v>
      </c>
      <c r="AP43" s="11">
        <f t="shared" si="5"/>
        <v>0</v>
      </c>
      <c r="AQ43" s="11">
        <f t="shared" si="5"/>
        <v>0</v>
      </c>
      <c r="AR43" s="11">
        <f t="shared" si="5"/>
        <v>0</v>
      </c>
      <c r="AS43" s="11">
        <f t="shared" si="5"/>
        <v>0</v>
      </c>
      <c r="AT43" s="11">
        <f t="shared" si="5"/>
        <v>0</v>
      </c>
    </row>
    <row r="44" spans="1:59">
      <c r="A44" s="17"/>
      <c r="B44" s="6"/>
      <c r="C44" t="s">
        <v>720</v>
      </c>
      <c r="F44" s="7">
        <v>0</v>
      </c>
      <c r="G44" s="69">
        <v>0</v>
      </c>
      <c r="H44" s="13" t="s">
        <v>4</v>
      </c>
      <c r="I44" s="67"/>
      <c r="J44" s="206">
        <f>G44*I44</f>
        <v>0</v>
      </c>
      <c r="L44" s="644">
        <f t="shared" si="2"/>
        <v>0</v>
      </c>
      <c r="M44" s="2"/>
      <c r="O44" s="2"/>
      <c r="Q44" s="2"/>
      <c r="R44" s="2"/>
      <c r="S44" s="7"/>
      <c r="AA44" s="230">
        <f t="shared" si="3"/>
        <v>0</v>
      </c>
      <c r="AB44" s="230">
        <f t="shared" si="3"/>
        <v>0</v>
      </c>
      <c r="AC44" s="230">
        <f t="shared" si="3"/>
        <v>0</v>
      </c>
      <c r="AD44" s="230">
        <f t="shared" si="3"/>
        <v>0</v>
      </c>
      <c r="AE44" s="230">
        <f t="shared" si="3"/>
        <v>0</v>
      </c>
      <c r="AF44" s="230">
        <f t="shared" si="3"/>
        <v>0</v>
      </c>
      <c r="AG44" s="230">
        <f t="shared" si="3"/>
        <v>0</v>
      </c>
      <c r="AN44" s="11">
        <f t="shared" si="5"/>
        <v>0</v>
      </c>
      <c r="AO44" s="11">
        <f t="shared" si="5"/>
        <v>0</v>
      </c>
      <c r="AP44" s="11">
        <f t="shared" si="5"/>
        <v>0</v>
      </c>
      <c r="AQ44" s="11">
        <f t="shared" si="5"/>
        <v>0</v>
      </c>
      <c r="AR44" s="11">
        <f t="shared" si="5"/>
        <v>0</v>
      </c>
      <c r="AS44" s="11">
        <f t="shared" si="5"/>
        <v>0</v>
      </c>
      <c r="AT44" s="11">
        <f t="shared" si="5"/>
        <v>0</v>
      </c>
      <c r="AY44" s="11"/>
      <c r="AZ44" s="11"/>
      <c r="BC44" s="11"/>
      <c r="BD44" s="11"/>
      <c r="BE44" s="11"/>
      <c r="BF44" s="11"/>
      <c r="BG44" s="11"/>
    </row>
    <row r="45" spans="1:59" ht="14.25" customHeight="1">
      <c r="A45" s="17"/>
      <c r="C45" t="s">
        <v>721</v>
      </c>
      <c r="F45" s="7"/>
      <c r="G45" s="69">
        <f>(G43*(0.9-0.225)*2)+(G44*(0.3+0.3+0.3)*F44)</f>
        <v>47.25</v>
      </c>
      <c r="H45" s="206" t="s">
        <v>18</v>
      </c>
      <c r="I45" s="67">
        <f>I$15</f>
        <v>42</v>
      </c>
      <c r="J45" s="206">
        <f>G45*I45</f>
        <v>1984.5</v>
      </c>
      <c r="L45" s="644">
        <f t="shared" si="2"/>
        <v>1984.5</v>
      </c>
      <c r="M45" s="2"/>
      <c r="O45" s="2"/>
      <c r="Q45" s="2"/>
      <c r="R45" s="2"/>
      <c r="S45" s="7"/>
      <c r="AA45" s="230">
        <f t="shared" si="3"/>
        <v>0</v>
      </c>
      <c r="AB45" s="230">
        <f t="shared" si="3"/>
        <v>0</v>
      </c>
      <c r="AC45" s="230">
        <f t="shared" si="3"/>
        <v>0</v>
      </c>
      <c r="AD45" s="230">
        <f t="shared" si="3"/>
        <v>0</v>
      </c>
      <c r="AE45" s="230">
        <f t="shared" si="3"/>
        <v>0</v>
      </c>
      <c r="AF45" s="230">
        <f t="shared" si="3"/>
        <v>0</v>
      </c>
      <c r="AG45" s="230">
        <f t="shared" si="3"/>
        <v>0</v>
      </c>
      <c r="AN45" s="11">
        <f t="shared" si="5"/>
        <v>0</v>
      </c>
      <c r="AO45" s="11">
        <f t="shared" si="5"/>
        <v>0</v>
      </c>
      <c r="AP45" s="11">
        <f t="shared" si="5"/>
        <v>0</v>
      </c>
      <c r="AQ45" s="11">
        <f t="shared" si="5"/>
        <v>0</v>
      </c>
      <c r="AR45" s="11">
        <f t="shared" si="5"/>
        <v>0</v>
      </c>
      <c r="AS45" s="11">
        <f t="shared" si="5"/>
        <v>0</v>
      </c>
      <c r="AT45" s="11">
        <f t="shared" si="5"/>
        <v>0</v>
      </c>
    </row>
    <row r="46" spans="1:59" ht="14.25" customHeight="1">
      <c r="A46" s="17"/>
      <c r="B46" s="6"/>
      <c r="F46" s="7"/>
      <c r="G46" s="69"/>
      <c r="H46" s="206"/>
      <c r="I46" s="67"/>
      <c r="J46" s="206"/>
      <c r="L46" s="644">
        <f t="shared" si="2"/>
        <v>0</v>
      </c>
      <c r="M46" s="2"/>
      <c r="O46" s="2"/>
      <c r="Q46" s="2"/>
      <c r="R46" s="2"/>
      <c r="S46" s="7"/>
      <c r="AA46" s="230">
        <f t="shared" si="3"/>
        <v>0</v>
      </c>
      <c r="AB46" s="230">
        <f t="shared" si="3"/>
        <v>0</v>
      </c>
      <c r="AC46" s="230">
        <f t="shared" si="3"/>
        <v>0</v>
      </c>
      <c r="AD46" s="230">
        <f t="shared" si="3"/>
        <v>0</v>
      </c>
      <c r="AE46" s="230">
        <f t="shared" si="3"/>
        <v>0</v>
      </c>
      <c r="AF46" s="230">
        <f t="shared" si="3"/>
        <v>0</v>
      </c>
      <c r="AG46" s="230">
        <f t="shared" si="3"/>
        <v>0</v>
      </c>
      <c r="AN46" s="11">
        <f t="shared" si="5"/>
        <v>0</v>
      </c>
      <c r="AO46" s="11">
        <f t="shared" si="5"/>
        <v>0</v>
      </c>
      <c r="AP46" s="11">
        <f t="shared" si="5"/>
        <v>0</v>
      </c>
      <c r="AQ46" s="11">
        <f t="shared" si="5"/>
        <v>0</v>
      </c>
      <c r="AR46" s="11">
        <f t="shared" si="5"/>
        <v>0</v>
      </c>
      <c r="AS46" s="11">
        <f t="shared" si="5"/>
        <v>0</v>
      </c>
      <c r="AT46" s="11">
        <f t="shared" si="5"/>
        <v>0</v>
      </c>
      <c r="AY46" s="11"/>
      <c r="AZ46" s="11"/>
      <c r="BC46" s="11"/>
      <c r="BD46" s="11"/>
      <c r="BE46" s="11"/>
      <c r="BF46" s="11"/>
      <c r="BG46" s="11"/>
    </row>
    <row r="47" spans="1:59" ht="14.25" customHeight="1">
      <c r="A47" s="17"/>
      <c r="B47" t="s">
        <v>733</v>
      </c>
      <c r="F47" s="7"/>
      <c r="G47" s="69"/>
      <c r="H47" s="206"/>
      <c r="I47" s="67"/>
      <c r="J47" s="206"/>
      <c r="L47" s="644">
        <f t="shared" si="2"/>
        <v>0</v>
      </c>
      <c r="M47" s="2"/>
      <c r="O47" s="2"/>
      <c r="Q47" s="2"/>
      <c r="R47" s="2"/>
      <c r="S47" s="7"/>
      <c r="AA47" s="230">
        <f t="shared" si="3"/>
        <v>0</v>
      </c>
      <c r="AB47" s="230">
        <f t="shared" si="3"/>
        <v>0</v>
      </c>
      <c r="AC47" s="230">
        <f t="shared" si="3"/>
        <v>0</v>
      </c>
      <c r="AD47" s="230">
        <f t="shared" si="3"/>
        <v>0</v>
      </c>
      <c r="AE47" s="230">
        <f t="shared" si="3"/>
        <v>0</v>
      </c>
      <c r="AF47" s="230">
        <f t="shared" si="3"/>
        <v>0</v>
      </c>
      <c r="AG47" s="230">
        <f t="shared" si="3"/>
        <v>0</v>
      </c>
      <c r="AN47" s="11">
        <f t="shared" si="5"/>
        <v>0</v>
      </c>
      <c r="AO47" s="11">
        <f t="shared" si="5"/>
        <v>0</v>
      </c>
      <c r="AP47" s="11">
        <f t="shared" si="5"/>
        <v>0</v>
      </c>
      <c r="AQ47" s="11">
        <f t="shared" si="5"/>
        <v>0</v>
      </c>
      <c r="AR47" s="11">
        <f t="shared" si="5"/>
        <v>0</v>
      </c>
      <c r="AS47" s="11">
        <f t="shared" si="5"/>
        <v>0</v>
      </c>
      <c r="AT47" s="11">
        <f t="shared" si="5"/>
        <v>0</v>
      </c>
    </row>
    <row r="48" spans="1:59" ht="14.25" customHeight="1">
      <c r="A48" s="17"/>
      <c r="C48" t="s">
        <v>734</v>
      </c>
      <c r="F48" s="7"/>
      <c r="G48" s="69"/>
      <c r="H48" s="206" t="s">
        <v>4</v>
      </c>
      <c r="I48" s="67">
        <f>450-Z2</f>
        <v>315.12304560000001</v>
      </c>
      <c r="J48" s="206">
        <f>G48*I48</f>
        <v>0</v>
      </c>
      <c r="L48" s="644">
        <f t="shared" si="2"/>
        <v>0</v>
      </c>
      <c r="M48" s="2"/>
      <c r="O48" s="2"/>
      <c r="Q48" s="2"/>
      <c r="R48" s="2"/>
      <c r="S48" s="7"/>
      <c r="AA48" s="230">
        <f t="shared" si="3"/>
        <v>0</v>
      </c>
      <c r="AB48" s="230">
        <f t="shared" si="3"/>
        <v>0</v>
      </c>
      <c r="AC48" s="230">
        <f t="shared" si="3"/>
        <v>0</v>
      </c>
      <c r="AD48" s="230">
        <f t="shared" si="3"/>
        <v>0</v>
      </c>
      <c r="AE48" s="230">
        <f t="shared" si="3"/>
        <v>0</v>
      </c>
      <c r="AF48" s="230">
        <f t="shared" si="3"/>
        <v>0</v>
      </c>
      <c r="AG48" s="230">
        <f t="shared" si="3"/>
        <v>0</v>
      </c>
      <c r="AN48" s="11">
        <f t="shared" si="5"/>
        <v>0</v>
      </c>
      <c r="AO48" s="11">
        <f t="shared" si="5"/>
        <v>0</v>
      </c>
      <c r="AP48" s="11">
        <f t="shared" si="5"/>
        <v>0</v>
      </c>
      <c r="AQ48" s="11">
        <f t="shared" si="5"/>
        <v>0</v>
      </c>
      <c r="AR48" s="11">
        <f t="shared" si="5"/>
        <v>0</v>
      </c>
      <c r="AS48" s="11">
        <f t="shared" si="5"/>
        <v>0</v>
      </c>
      <c r="AT48" s="11">
        <f t="shared" si="5"/>
        <v>0</v>
      </c>
      <c r="AY48" s="11"/>
      <c r="AZ48" s="11"/>
      <c r="BC48" s="11"/>
      <c r="BD48" s="11"/>
      <c r="BE48" s="11"/>
      <c r="BF48" s="11"/>
      <c r="BG48" s="11"/>
    </row>
    <row r="49" spans="1:59" ht="14.25" customHeight="1">
      <c r="A49" s="17"/>
      <c r="B49" s="6"/>
      <c r="C49" t="s">
        <v>720</v>
      </c>
      <c r="F49" s="7">
        <v>0</v>
      </c>
      <c r="G49" s="69">
        <v>0</v>
      </c>
      <c r="H49" s="13" t="s">
        <v>4</v>
      </c>
      <c r="I49" s="67"/>
      <c r="J49" s="206">
        <f>G49*I49</f>
        <v>0</v>
      </c>
      <c r="L49" s="644">
        <f t="shared" si="2"/>
        <v>0</v>
      </c>
      <c r="M49" s="2"/>
      <c r="O49" s="2"/>
      <c r="Q49" s="2"/>
      <c r="R49" s="2"/>
      <c r="S49" s="7"/>
      <c r="AA49" s="230">
        <f t="shared" si="3"/>
        <v>0</v>
      </c>
      <c r="AB49" s="230">
        <f t="shared" si="3"/>
        <v>0</v>
      </c>
      <c r="AC49" s="230">
        <f t="shared" si="3"/>
        <v>0</v>
      </c>
      <c r="AD49" s="230">
        <f t="shared" si="3"/>
        <v>0</v>
      </c>
      <c r="AE49" s="230">
        <f t="shared" si="3"/>
        <v>0</v>
      </c>
      <c r="AF49" s="230">
        <f t="shared" si="3"/>
        <v>0</v>
      </c>
      <c r="AG49" s="230">
        <f t="shared" si="3"/>
        <v>0</v>
      </c>
      <c r="AN49" s="11">
        <f t="shared" si="5"/>
        <v>0</v>
      </c>
      <c r="AO49" s="11">
        <f t="shared" si="5"/>
        <v>0</v>
      </c>
      <c r="AP49" s="11">
        <f t="shared" si="5"/>
        <v>0</v>
      </c>
      <c r="AQ49" s="11">
        <f t="shared" si="5"/>
        <v>0</v>
      </c>
      <c r="AR49" s="11">
        <f t="shared" si="5"/>
        <v>0</v>
      </c>
      <c r="AS49" s="11">
        <f t="shared" si="5"/>
        <v>0</v>
      </c>
      <c r="AT49" s="11">
        <f t="shared" si="5"/>
        <v>0</v>
      </c>
    </row>
    <row r="50" spans="1:59" ht="14.25" customHeight="1">
      <c r="A50" s="17"/>
      <c r="C50" t="s">
        <v>721</v>
      </c>
      <c r="F50" s="7"/>
      <c r="G50" s="69">
        <f>(G48*(1.05-0.225)*2)+(G49*(0.3+0.3+0.3)*F49)</f>
        <v>0</v>
      </c>
      <c r="H50" s="206" t="s">
        <v>18</v>
      </c>
      <c r="I50" s="67">
        <f>I$15</f>
        <v>42</v>
      </c>
      <c r="J50" s="206">
        <f>G50*I50</f>
        <v>0</v>
      </c>
      <c r="L50" s="644">
        <f t="shared" si="2"/>
        <v>0</v>
      </c>
      <c r="M50" s="2"/>
      <c r="O50" s="2"/>
      <c r="Q50" s="2"/>
      <c r="R50" s="2"/>
      <c r="S50" s="7"/>
      <c r="AA50" s="230">
        <f t="shared" si="3"/>
        <v>0</v>
      </c>
      <c r="AB50" s="230">
        <f t="shared" si="3"/>
        <v>0</v>
      </c>
      <c r="AC50" s="230">
        <f t="shared" si="3"/>
        <v>0</v>
      </c>
      <c r="AD50" s="230">
        <f t="shared" si="3"/>
        <v>0</v>
      </c>
      <c r="AE50" s="230">
        <f t="shared" si="3"/>
        <v>0</v>
      </c>
      <c r="AF50" s="230">
        <f t="shared" si="3"/>
        <v>0</v>
      </c>
      <c r="AG50" s="230">
        <f t="shared" si="3"/>
        <v>0</v>
      </c>
      <c r="AN50" s="11">
        <f t="shared" si="5"/>
        <v>0</v>
      </c>
      <c r="AO50" s="11">
        <f t="shared" si="5"/>
        <v>0</v>
      </c>
      <c r="AP50" s="11">
        <f t="shared" si="5"/>
        <v>0</v>
      </c>
      <c r="AQ50" s="11">
        <f t="shared" si="5"/>
        <v>0</v>
      </c>
      <c r="AR50" s="11">
        <f t="shared" si="5"/>
        <v>0</v>
      </c>
      <c r="AS50" s="11">
        <f t="shared" si="5"/>
        <v>0</v>
      </c>
      <c r="AT50" s="11">
        <f t="shared" si="5"/>
        <v>0</v>
      </c>
      <c r="AY50" s="11"/>
      <c r="AZ50" s="11"/>
      <c r="BC50" s="11"/>
      <c r="BD50" s="11"/>
      <c r="BE50" s="11"/>
      <c r="BF50" s="11"/>
      <c r="BG50" s="11"/>
    </row>
    <row r="51" spans="1:59" ht="14.5" customHeight="1">
      <c r="A51" s="17"/>
      <c r="B51" s="6"/>
      <c r="F51" s="7"/>
      <c r="G51" s="69"/>
      <c r="H51" s="206"/>
      <c r="I51" s="67"/>
      <c r="J51" s="206"/>
      <c r="L51" s="644">
        <f t="shared" si="2"/>
        <v>0</v>
      </c>
      <c r="M51" s="2"/>
      <c r="O51" s="2"/>
      <c r="Q51" s="2"/>
      <c r="R51" s="2"/>
      <c r="S51" s="7"/>
      <c r="AA51" s="230">
        <f t="shared" si="3"/>
        <v>0</v>
      </c>
      <c r="AB51" s="230">
        <f t="shared" si="3"/>
        <v>0</v>
      </c>
      <c r="AC51" s="230">
        <f t="shared" si="3"/>
        <v>0</v>
      </c>
      <c r="AD51" s="230">
        <f t="shared" si="3"/>
        <v>0</v>
      </c>
      <c r="AE51" s="230">
        <f t="shared" si="3"/>
        <v>0</v>
      </c>
      <c r="AF51" s="230">
        <f t="shared" si="3"/>
        <v>0</v>
      </c>
      <c r="AG51" s="230">
        <f t="shared" si="3"/>
        <v>0</v>
      </c>
      <c r="AN51" s="11">
        <f t="shared" si="5"/>
        <v>0</v>
      </c>
      <c r="AO51" s="11">
        <f t="shared" si="5"/>
        <v>0</v>
      </c>
      <c r="AP51" s="11">
        <f t="shared" si="5"/>
        <v>0</v>
      </c>
      <c r="AQ51" s="11">
        <f t="shared" si="5"/>
        <v>0</v>
      </c>
      <c r="AR51" s="11">
        <f t="shared" si="5"/>
        <v>0</v>
      </c>
      <c r="AS51" s="11">
        <f t="shared" si="5"/>
        <v>0</v>
      </c>
      <c r="AT51" s="11">
        <f t="shared" si="5"/>
        <v>0</v>
      </c>
    </row>
    <row r="52" spans="1:59" ht="14.5" customHeight="1">
      <c r="A52" s="17"/>
      <c r="B52" s="6"/>
      <c r="F52" s="7"/>
      <c r="G52" s="69"/>
      <c r="H52" s="206"/>
      <c r="I52" s="67"/>
      <c r="J52" s="206"/>
      <c r="L52" s="644">
        <f t="shared" si="2"/>
        <v>0</v>
      </c>
      <c r="M52" s="2"/>
      <c r="O52" s="2"/>
      <c r="Q52" s="2"/>
      <c r="R52" s="2"/>
      <c r="S52" s="7"/>
      <c r="AA52" s="230">
        <f t="shared" si="3"/>
        <v>0</v>
      </c>
      <c r="AB52" s="230">
        <f t="shared" si="3"/>
        <v>0</v>
      </c>
      <c r="AC52" s="230">
        <f t="shared" si="3"/>
        <v>0</v>
      </c>
      <c r="AD52" s="230">
        <f t="shared" si="3"/>
        <v>0</v>
      </c>
      <c r="AE52" s="230">
        <f t="shared" si="3"/>
        <v>0</v>
      </c>
      <c r="AF52" s="230">
        <f t="shared" si="3"/>
        <v>0</v>
      </c>
      <c r="AG52" s="230">
        <f t="shared" si="3"/>
        <v>0</v>
      </c>
      <c r="AN52" s="11">
        <f t="shared" si="5"/>
        <v>0</v>
      </c>
      <c r="AO52" s="11">
        <f t="shared" si="5"/>
        <v>0</v>
      </c>
      <c r="AP52" s="11">
        <f t="shared" si="5"/>
        <v>0</v>
      </c>
      <c r="AQ52" s="11">
        <f t="shared" si="5"/>
        <v>0</v>
      </c>
      <c r="AR52" s="11">
        <f t="shared" si="5"/>
        <v>0</v>
      </c>
      <c r="AS52" s="11">
        <f t="shared" si="5"/>
        <v>0</v>
      </c>
      <c r="AT52" s="11">
        <f t="shared" si="5"/>
        <v>0</v>
      </c>
      <c r="AY52" s="11"/>
      <c r="AZ52" s="11"/>
      <c r="BC52" s="11"/>
      <c r="BD52" s="11"/>
      <c r="BE52" s="11"/>
      <c r="BF52" s="11"/>
      <c r="BG52" s="11"/>
    </row>
    <row r="53" spans="1:59" ht="14.5" customHeight="1">
      <c r="A53" s="17"/>
      <c r="B53" t="s">
        <v>735</v>
      </c>
      <c r="F53" s="7"/>
      <c r="G53" s="69"/>
      <c r="H53" s="206"/>
      <c r="I53" s="67"/>
      <c r="J53" s="206"/>
      <c r="L53" s="644">
        <f t="shared" si="2"/>
        <v>0</v>
      </c>
      <c r="M53" s="2"/>
      <c r="O53" s="2"/>
      <c r="Q53" s="2"/>
      <c r="R53" s="2"/>
      <c r="S53" s="7"/>
      <c r="AA53" s="230">
        <f t="shared" si="3"/>
        <v>0</v>
      </c>
      <c r="AB53" s="230">
        <f t="shared" si="3"/>
        <v>0</v>
      </c>
      <c r="AC53" s="230">
        <f t="shared" si="3"/>
        <v>0</v>
      </c>
      <c r="AD53" s="230">
        <f t="shared" si="3"/>
        <v>0</v>
      </c>
      <c r="AE53" s="230">
        <f t="shared" si="3"/>
        <v>0</v>
      </c>
      <c r="AF53" s="230">
        <f t="shared" si="3"/>
        <v>0</v>
      </c>
      <c r="AG53" s="230">
        <f t="shared" si="3"/>
        <v>0</v>
      </c>
      <c r="AN53" s="11">
        <f t="shared" si="5"/>
        <v>0</v>
      </c>
      <c r="AO53" s="11">
        <f t="shared" si="5"/>
        <v>0</v>
      </c>
      <c r="AP53" s="11">
        <f t="shared" si="5"/>
        <v>0</v>
      </c>
      <c r="AQ53" s="11">
        <f t="shared" si="5"/>
        <v>0</v>
      </c>
      <c r="AR53" s="11">
        <f t="shared" si="5"/>
        <v>0</v>
      </c>
      <c r="AS53" s="11">
        <f t="shared" si="5"/>
        <v>0</v>
      </c>
      <c r="AT53" s="11">
        <f t="shared" si="5"/>
        <v>0</v>
      </c>
    </row>
    <row r="54" spans="1:59" ht="14.5" customHeight="1">
      <c r="A54" s="17"/>
      <c r="C54" t="s">
        <v>736</v>
      </c>
      <c r="F54" s="7"/>
      <c r="G54" s="69">
        <v>16</v>
      </c>
      <c r="H54" s="206" t="s">
        <v>4</v>
      </c>
      <c r="I54" s="67">
        <f>525-Z2</f>
        <v>390.12304560000001</v>
      </c>
      <c r="J54" s="206">
        <f>G54*I54</f>
        <v>6241.9687296000002</v>
      </c>
      <c r="L54" s="644">
        <f t="shared" si="2"/>
        <v>6241.9687296000002</v>
      </c>
      <c r="M54" s="2"/>
      <c r="O54" s="2"/>
      <c r="Q54" s="2"/>
      <c r="R54" s="2"/>
      <c r="S54" s="7"/>
      <c r="AA54" s="230">
        <f t="shared" si="3"/>
        <v>0</v>
      </c>
      <c r="AB54" s="230">
        <f t="shared" si="3"/>
        <v>0</v>
      </c>
      <c r="AC54" s="230">
        <f t="shared" si="3"/>
        <v>0</v>
      </c>
      <c r="AD54" s="230">
        <f t="shared" si="3"/>
        <v>0</v>
      </c>
      <c r="AE54" s="230">
        <f t="shared" si="3"/>
        <v>0</v>
      </c>
      <c r="AF54" s="230">
        <f t="shared" si="3"/>
        <v>0</v>
      </c>
      <c r="AG54" s="230">
        <f t="shared" si="3"/>
        <v>0</v>
      </c>
      <c r="AN54" s="11">
        <f t="shared" si="5"/>
        <v>0</v>
      </c>
      <c r="AO54" s="11">
        <f t="shared" si="5"/>
        <v>0</v>
      </c>
      <c r="AP54" s="11">
        <f t="shared" si="5"/>
        <v>0</v>
      </c>
      <c r="AQ54" s="11">
        <f t="shared" si="5"/>
        <v>0</v>
      </c>
      <c r="AR54" s="11">
        <f t="shared" si="5"/>
        <v>0</v>
      </c>
      <c r="AS54" s="11">
        <f t="shared" si="5"/>
        <v>0</v>
      </c>
      <c r="AT54" s="11">
        <f t="shared" si="5"/>
        <v>0</v>
      </c>
      <c r="AY54" s="11"/>
      <c r="AZ54" s="11"/>
      <c r="BC54" s="11"/>
      <c r="BD54" s="11"/>
      <c r="BE54" s="11"/>
      <c r="BF54" s="11"/>
      <c r="BG54" s="11"/>
    </row>
    <row r="55" spans="1:59" ht="14.5" customHeight="1">
      <c r="A55" s="17"/>
      <c r="B55" s="6"/>
      <c r="C55" t="s">
        <v>720</v>
      </c>
      <c r="F55" s="7">
        <v>0</v>
      </c>
      <c r="G55" s="69">
        <v>0</v>
      </c>
      <c r="H55" s="13" t="s">
        <v>4</v>
      </c>
      <c r="I55" s="67"/>
      <c r="J55" s="206">
        <f>G55*I55</f>
        <v>0</v>
      </c>
      <c r="L55" s="644">
        <f t="shared" si="2"/>
        <v>0</v>
      </c>
      <c r="M55" s="2"/>
      <c r="O55" s="2"/>
      <c r="Q55" s="2"/>
      <c r="R55" s="2"/>
      <c r="S55" s="7"/>
      <c r="AA55" s="230">
        <f t="shared" si="3"/>
        <v>0</v>
      </c>
      <c r="AB55" s="230">
        <f t="shared" si="3"/>
        <v>0</v>
      </c>
      <c r="AC55" s="230">
        <f t="shared" si="3"/>
        <v>0</v>
      </c>
      <c r="AD55" s="230">
        <f t="shared" si="3"/>
        <v>0</v>
      </c>
      <c r="AE55" s="230">
        <f t="shared" si="3"/>
        <v>0</v>
      </c>
      <c r="AF55" s="230">
        <f t="shared" si="3"/>
        <v>0</v>
      </c>
      <c r="AG55" s="230">
        <f t="shared" si="3"/>
        <v>0</v>
      </c>
      <c r="AN55" s="11">
        <f t="shared" si="5"/>
        <v>0</v>
      </c>
      <c r="AO55" s="11">
        <f t="shared" si="5"/>
        <v>0</v>
      </c>
      <c r="AP55" s="11">
        <f t="shared" si="5"/>
        <v>0</v>
      </c>
      <c r="AQ55" s="11">
        <f t="shared" si="5"/>
        <v>0</v>
      </c>
      <c r="AR55" s="11">
        <f t="shared" si="5"/>
        <v>0</v>
      </c>
      <c r="AS55" s="11">
        <f t="shared" si="5"/>
        <v>0</v>
      </c>
      <c r="AT55" s="11">
        <f t="shared" si="5"/>
        <v>0</v>
      </c>
    </row>
    <row r="56" spans="1:59" ht="14.5" customHeight="1">
      <c r="A56" s="17"/>
      <c r="C56" t="s">
        <v>721</v>
      </c>
      <c r="F56" s="7"/>
      <c r="G56" s="69">
        <f>(G54*(1.5-0.225)*2)+(G55*(0.3+0.3+0.3)*F55)</f>
        <v>40.799999999999997</v>
      </c>
      <c r="H56" s="206" t="s">
        <v>18</v>
      </c>
      <c r="I56" s="67">
        <f>I$15</f>
        <v>42</v>
      </c>
      <c r="J56" s="206">
        <f>G56*I56</f>
        <v>1713.6</v>
      </c>
      <c r="L56" s="644">
        <f t="shared" si="2"/>
        <v>1713.6</v>
      </c>
      <c r="M56" s="2"/>
      <c r="O56" s="2"/>
      <c r="Q56" s="2"/>
      <c r="R56" s="2"/>
      <c r="S56" s="7"/>
      <c r="AA56" s="230">
        <f t="shared" si="3"/>
        <v>0</v>
      </c>
      <c r="AB56" s="230">
        <f t="shared" si="3"/>
        <v>0</v>
      </c>
      <c r="AC56" s="230">
        <f t="shared" si="3"/>
        <v>0</v>
      </c>
      <c r="AD56" s="230">
        <f t="shared" si="3"/>
        <v>0</v>
      </c>
      <c r="AE56" s="230">
        <f t="shared" si="3"/>
        <v>0</v>
      </c>
      <c r="AF56" s="230">
        <f t="shared" si="3"/>
        <v>0</v>
      </c>
      <c r="AG56" s="230">
        <f t="shared" si="3"/>
        <v>0</v>
      </c>
      <c r="AN56" s="11">
        <f t="shared" si="5"/>
        <v>0</v>
      </c>
      <c r="AO56" s="11">
        <f t="shared" si="5"/>
        <v>0</v>
      </c>
      <c r="AP56" s="11">
        <f t="shared" si="5"/>
        <v>0</v>
      </c>
      <c r="AQ56" s="11">
        <f t="shared" si="5"/>
        <v>0</v>
      </c>
      <c r="AR56" s="11">
        <f t="shared" si="5"/>
        <v>0</v>
      </c>
      <c r="AS56" s="11">
        <f t="shared" si="5"/>
        <v>0</v>
      </c>
      <c r="AT56" s="11">
        <f t="shared" si="5"/>
        <v>0</v>
      </c>
      <c r="AY56" s="11"/>
      <c r="AZ56" s="11"/>
      <c r="BC56" s="11"/>
      <c r="BD56" s="11"/>
      <c r="BE56" s="11"/>
      <c r="BF56" s="11"/>
      <c r="BG56" s="11"/>
    </row>
    <row r="57" spans="1:59" ht="14.5" customHeight="1">
      <c r="A57" s="17"/>
      <c r="B57" s="6"/>
      <c r="F57" s="7"/>
      <c r="G57" s="69"/>
      <c r="H57" s="206"/>
      <c r="I57" s="67"/>
      <c r="J57" s="206"/>
      <c r="L57" s="644"/>
      <c r="M57" s="2"/>
      <c r="O57" s="2"/>
      <c r="Q57" s="2"/>
      <c r="R57" s="2"/>
      <c r="S57" s="7"/>
      <c r="AA57" s="230">
        <f t="shared" ref="AA57:AG74" si="6">IF($Y57=AA$7,$Z57,0)</f>
        <v>0</v>
      </c>
      <c r="AB57" s="230">
        <f t="shared" si="6"/>
        <v>0</v>
      </c>
      <c r="AC57" s="230">
        <f t="shared" si="6"/>
        <v>0</v>
      </c>
      <c r="AD57" s="230">
        <f t="shared" si="6"/>
        <v>0</v>
      </c>
      <c r="AE57" s="230">
        <f t="shared" si="6"/>
        <v>0</v>
      </c>
      <c r="AF57" s="230">
        <f t="shared" si="6"/>
        <v>0</v>
      </c>
      <c r="AG57" s="230">
        <f t="shared" si="6"/>
        <v>0</v>
      </c>
      <c r="AN57" s="11">
        <f t="shared" ref="AN57:AT72" si="7">IF($AJ57=AN$7,1,0)</f>
        <v>0</v>
      </c>
      <c r="AO57" s="11">
        <f t="shared" si="7"/>
        <v>0</v>
      </c>
      <c r="AP57" s="11">
        <f t="shared" si="7"/>
        <v>0</v>
      </c>
      <c r="AQ57" s="11">
        <f t="shared" si="7"/>
        <v>0</v>
      </c>
      <c r="AR57" s="11">
        <f t="shared" si="7"/>
        <v>0</v>
      </c>
      <c r="AS57" s="11">
        <f t="shared" si="7"/>
        <v>0</v>
      </c>
      <c r="AT57" s="11">
        <f t="shared" si="7"/>
        <v>0</v>
      </c>
    </row>
    <row r="58" spans="1:59" ht="14.5" customHeight="1">
      <c r="A58" s="17"/>
      <c r="B58" s="6"/>
      <c r="F58" s="7"/>
      <c r="G58" s="11"/>
      <c r="H58" s="13"/>
      <c r="I58" s="21"/>
      <c r="J58" s="13"/>
      <c r="L58" s="644"/>
      <c r="M58" s="2"/>
      <c r="O58" s="2"/>
      <c r="Q58" s="2"/>
      <c r="R58" s="2"/>
      <c r="S58" s="7"/>
      <c r="AA58" s="230">
        <f t="shared" si="6"/>
        <v>0</v>
      </c>
      <c r="AB58" s="230">
        <f t="shared" si="6"/>
        <v>0</v>
      </c>
      <c r="AC58" s="230">
        <f t="shared" si="6"/>
        <v>0</v>
      </c>
      <c r="AD58" s="230">
        <f t="shared" si="6"/>
        <v>0</v>
      </c>
      <c r="AE58" s="230">
        <f t="shared" si="6"/>
        <v>0</v>
      </c>
      <c r="AF58" s="230">
        <f t="shared" si="6"/>
        <v>0</v>
      </c>
      <c r="AG58" s="230">
        <f t="shared" si="6"/>
        <v>0</v>
      </c>
      <c r="AN58" s="11">
        <f t="shared" si="7"/>
        <v>0</v>
      </c>
      <c r="AO58" s="11">
        <f t="shared" si="7"/>
        <v>0</v>
      </c>
      <c r="AP58" s="11">
        <f t="shared" si="7"/>
        <v>0</v>
      </c>
      <c r="AQ58" s="11">
        <f t="shared" si="7"/>
        <v>0</v>
      </c>
      <c r="AR58" s="11">
        <f t="shared" si="7"/>
        <v>0</v>
      </c>
      <c r="AS58" s="11">
        <f t="shared" si="7"/>
        <v>0</v>
      </c>
      <c r="AT58" s="11">
        <f t="shared" si="7"/>
        <v>0</v>
      </c>
    </row>
    <row r="59" spans="1:59">
      <c r="A59" s="17"/>
      <c r="B59" t="s">
        <v>737</v>
      </c>
      <c r="F59" s="7"/>
      <c r="G59" s="69"/>
      <c r="H59" s="206"/>
      <c r="I59" s="67"/>
      <c r="J59" s="206"/>
      <c r="L59" s="644"/>
      <c r="M59" s="2"/>
      <c r="O59" s="2"/>
      <c r="Q59" s="2"/>
      <c r="R59" s="2"/>
      <c r="S59" s="7"/>
      <c r="AA59" s="230">
        <f t="shared" si="6"/>
        <v>0</v>
      </c>
      <c r="AB59" s="230">
        <f t="shared" si="6"/>
        <v>0</v>
      </c>
      <c r="AC59" s="230">
        <f t="shared" si="6"/>
        <v>0</v>
      </c>
      <c r="AD59" s="230">
        <f t="shared" si="6"/>
        <v>0</v>
      </c>
      <c r="AE59" s="230">
        <f t="shared" si="6"/>
        <v>0</v>
      </c>
      <c r="AF59" s="230">
        <f t="shared" si="6"/>
        <v>0</v>
      </c>
      <c r="AG59" s="230">
        <f t="shared" si="6"/>
        <v>0</v>
      </c>
      <c r="AN59" s="11">
        <f t="shared" si="7"/>
        <v>0</v>
      </c>
      <c r="AO59" s="11">
        <f t="shared" si="7"/>
        <v>0</v>
      </c>
      <c r="AP59" s="11">
        <f t="shared" si="7"/>
        <v>0</v>
      </c>
      <c r="AQ59" s="11">
        <f t="shared" si="7"/>
        <v>0</v>
      </c>
      <c r="AR59" s="11">
        <f t="shared" si="7"/>
        <v>0</v>
      </c>
      <c r="AS59" s="11">
        <f t="shared" si="7"/>
        <v>0</v>
      </c>
      <c r="AT59" s="11">
        <f t="shared" si="7"/>
        <v>0</v>
      </c>
    </row>
    <row r="60" spans="1:59" ht="14.5" hidden="1" customHeight="1">
      <c r="A60" s="17"/>
      <c r="C60" t="s">
        <v>738</v>
      </c>
      <c r="F60" s="7"/>
      <c r="G60" s="69">
        <f>(L60+N60)/I60</f>
        <v>0</v>
      </c>
      <c r="H60" s="206" t="s">
        <v>19</v>
      </c>
      <c r="I60" s="67">
        <f>1935-Z3</f>
        <v>135</v>
      </c>
      <c r="J60" s="206">
        <f>G60*I60</f>
        <v>0</v>
      </c>
      <c r="L60" s="644"/>
      <c r="M60" s="2"/>
      <c r="O60" s="2"/>
      <c r="Q60" s="2"/>
      <c r="R60" s="2"/>
      <c r="S60" s="7"/>
      <c r="AA60" s="230">
        <f t="shared" si="6"/>
        <v>0</v>
      </c>
      <c r="AB60" s="230">
        <f t="shared" si="6"/>
        <v>0</v>
      </c>
      <c r="AC60" s="230">
        <f t="shared" si="6"/>
        <v>0</v>
      </c>
      <c r="AD60" s="230">
        <f t="shared" si="6"/>
        <v>0</v>
      </c>
      <c r="AE60" s="230">
        <f t="shared" si="6"/>
        <v>0</v>
      </c>
      <c r="AF60" s="230">
        <f t="shared" si="6"/>
        <v>0</v>
      </c>
      <c r="AG60" s="230">
        <f t="shared" si="6"/>
        <v>0</v>
      </c>
      <c r="AN60" s="11">
        <f t="shared" si="7"/>
        <v>0</v>
      </c>
      <c r="AO60" s="11">
        <f t="shared" si="7"/>
        <v>0</v>
      </c>
      <c r="AP60" s="11">
        <f t="shared" si="7"/>
        <v>0</v>
      </c>
      <c r="AQ60" s="11">
        <f t="shared" si="7"/>
        <v>0</v>
      </c>
      <c r="AR60" s="11">
        <f t="shared" si="7"/>
        <v>0</v>
      </c>
      <c r="AS60" s="11">
        <f t="shared" si="7"/>
        <v>0</v>
      </c>
      <c r="AT60" s="11">
        <f t="shared" si="7"/>
        <v>0</v>
      </c>
    </row>
    <row r="61" spans="1:59" ht="14.5" hidden="1" customHeight="1">
      <c r="A61" s="17"/>
      <c r="C61" t="s">
        <v>739</v>
      </c>
      <c r="F61" s="7"/>
      <c r="G61" s="69">
        <f>(AP5-AC3)*G60</f>
        <v>0</v>
      </c>
      <c r="H61" s="206" t="s">
        <v>18</v>
      </c>
      <c r="I61" s="227"/>
      <c r="J61" s="206">
        <f>G61*I61</f>
        <v>0</v>
      </c>
      <c r="L61" s="644"/>
      <c r="M61" s="2"/>
      <c r="O61" s="2"/>
      <c r="Q61" s="2"/>
      <c r="R61" s="2"/>
      <c r="S61" s="7"/>
      <c r="AA61" s="230">
        <f t="shared" si="6"/>
        <v>0</v>
      </c>
      <c r="AB61" s="230">
        <f t="shared" si="6"/>
        <v>0</v>
      </c>
      <c r="AC61" s="230">
        <f t="shared" si="6"/>
        <v>0</v>
      </c>
      <c r="AD61" s="230">
        <f t="shared" si="6"/>
        <v>0</v>
      </c>
      <c r="AE61" s="230">
        <f t="shared" si="6"/>
        <v>0</v>
      </c>
      <c r="AF61" s="230">
        <f t="shared" si="6"/>
        <v>0</v>
      </c>
      <c r="AG61" s="230">
        <f t="shared" si="6"/>
        <v>0</v>
      </c>
      <c r="AN61" s="11">
        <f t="shared" si="7"/>
        <v>0</v>
      </c>
      <c r="AO61" s="11">
        <f t="shared" si="7"/>
        <v>0</v>
      </c>
      <c r="AP61" s="11">
        <f t="shared" si="7"/>
        <v>0</v>
      </c>
      <c r="AQ61" s="11">
        <f t="shared" si="7"/>
        <v>0</v>
      </c>
      <c r="AR61" s="11">
        <f t="shared" si="7"/>
        <v>0</v>
      </c>
      <c r="AS61" s="11">
        <f t="shared" si="7"/>
        <v>0</v>
      </c>
      <c r="AT61" s="11">
        <f t="shared" si="7"/>
        <v>0</v>
      </c>
    </row>
    <row r="62" spans="1:59">
      <c r="A62" s="17"/>
      <c r="F62" s="7"/>
      <c r="G62" s="69"/>
      <c r="H62" s="206"/>
      <c r="I62" s="227"/>
      <c r="J62" s="206"/>
      <c r="L62" s="644"/>
      <c r="M62" s="2"/>
      <c r="O62" s="2"/>
      <c r="Q62" s="2"/>
      <c r="R62" s="2"/>
      <c r="S62" s="7"/>
      <c r="AA62" s="230">
        <f t="shared" si="6"/>
        <v>0</v>
      </c>
      <c r="AB62" s="230">
        <f t="shared" si="6"/>
        <v>0</v>
      </c>
      <c r="AC62" s="230">
        <f t="shared" si="6"/>
        <v>0</v>
      </c>
      <c r="AD62" s="230">
        <f t="shared" si="6"/>
        <v>0</v>
      </c>
      <c r="AE62" s="230">
        <f t="shared" si="6"/>
        <v>0</v>
      </c>
      <c r="AF62" s="230">
        <f t="shared" si="6"/>
        <v>0</v>
      </c>
      <c r="AG62" s="230">
        <f t="shared" si="6"/>
        <v>0</v>
      </c>
      <c r="AN62" s="11">
        <f t="shared" si="7"/>
        <v>0</v>
      </c>
      <c r="AO62" s="11">
        <f t="shared" si="7"/>
        <v>0</v>
      </c>
      <c r="AP62" s="11">
        <f t="shared" si="7"/>
        <v>0</v>
      </c>
      <c r="AQ62" s="11">
        <f t="shared" si="7"/>
        <v>0</v>
      </c>
      <c r="AR62" s="11">
        <f t="shared" si="7"/>
        <v>0</v>
      </c>
      <c r="AS62" s="11">
        <f t="shared" si="7"/>
        <v>0</v>
      </c>
      <c r="AT62" s="11">
        <f t="shared" si="7"/>
        <v>0</v>
      </c>
    </row>
    <row r="63" spans="1:59">
      <c r="A63" s="17"/>
      <c r="C63" t="s">
        <v>740</v>
      </c>
      <c r="F63" s="7"/>
      <c r="G63" s="69">
        <v>14</v>
      </c>
      <c r="H63" s="206" t="s">
        <v>19</v>
      </c>
      <c r="I63" s="67">
        <f>2580-Z3</f>
        <v>780</v>
      </c>
      <c r="J63" s="206">
        <f>G63*I63</f>
        <v>10920</v>
      </c>
      <c r="L63" s="644">
        <f t="shared" si="2"/>
        <v>10920</v>
      </c>
      <c r="M63" s="2"/>
      <c r="O63" s="2"/>
      <c r="Q63" s="2"/>
      <c r="R63" s="2"/>
      <c r="S63" s="7"/>
      <c r="AA63" s="230">
        <f t="shared" si="6"/>
        <v>0</v>
      </c>
      <c r="AB63" s="230">
        <f t="shared" si="6"/>
        <v>0</v>
      </c>
      <c r="AC63" s="230">
        <f t="shared" si="6"/>
        <v>0</v>
      </c>
      <c r="AD63" s="230">
        <f t="shared" si="6"/>
        <v>0</v>
      </c>
      <c r="AE63" s="230">
        <f t="shared" si="6"/>
        <v>0</v>
      </c>
      <c r="AF63" s="230">
        <f t="shared" si="6"/>
        <v>0</v>
      </c>
      <c r="AG63" s="230">
        <f t="shared" si="6"/>
        <v>0</v>
      </c>
      <c r="AN63" s="11">
        <f t="shared" si="7"/>
        <v>0</v>
      </c>
      <c r="AO63" s="11">
        <f t="shared" si="7"/>
        <v>0</v>
      </c>
      <c r="AP63" s="11">
        <f t="shared" si="7"/>
        <v>0</v>
      </c>
      <c r="AQ63" s="11">
        <f t="shared" si="7"/>
        <v>0</v>
      </c>
      <c r="AR63" s="11">
        <f t="shared" si="7"/>
        <v>0</v>
      </c>
      <c r="AS63" s="11">
        <f t="shared" si="7"/>
        <v>0</v>
      </c>
      <c r="AT63" s="11">
        <f t="shared" si="7"/>
        <v>0</v>
      </c>
    </row>
    <row r="64" spans="1:59">
      <c r="A64" s="17"/>
      <c r="C64" t="s">
        <v>739</v>
      </c>
      <c r="F64" s="7"/>
      <c r="G64" s="69">
        <f>(AQ5-AC3)*G63</f>
        <v>17.81514</v>
      </c>
      <c r="H64" s="206" t="s">
        <v>18</v>
      </c>
      <c r="I64" s="227">
        <f>I70</f>
        <v>37.441176470588232</v>
      </c>
      <c r="J64" s="206">
        <f>G64*I64</f>
        <v>667.01980058823517</v>
      </c>
      <c r="L64" s="644">
        <f t="shared" si="2"/>
        <v>667.01980058823517</v>
      </c>
      <c r="M64" s="2"/>
      <c r="O64" s="2"/>
      <c r="Q64" s="2"/>
      <c r="R64" s="2"/>
      <c r="S64" s="7"/>
      <c r="AA64" s="230">
        <f t="shared" si="6"/>
        <v>0</v>
      </c>
      <c r="AB64" s="230">
        <f t="shared" si="6"/>
        <v>0</v>
      </c>
      <c r="AC64" s="230">
        <f t="shared" si="6"/>
        <v>0</v>
      </c>
      <c r="AD64" s="230">
        <f t="shared" si="6"/>
        <v>0</v>
      </c>
      <c r="AE64" s="230">
        <f t="shared" si="6"/>
        <v>0</v>
      </c>
      <c r="AF64" s="230">
        <f t="shared" si="6"/>
        <v>0</v>
      </c>
      <c r="AG64" s="230">
        <f t="shared" si="6"/>
        <v>0</v>
      </c>
      <c r="AN64" s="11">
        <f t="shared" si="7"/>
        <v>0</v>
      </c>
      <c r="AO64" s="11">
        <f t="shared" si="7"/>
        <v>0</v>
      </c>
      <c r="AP64" s="11">
        <f t="shared" si="7"/>
        <v>0</v>
      </c>
      <c r="AQ64" s="11">
        <f t="shared" si="7"/>
        <v>0</v>
      </c>
      <c r="AR64" s="11">
        <f t="shared" si="7"/>
        <v>0</v>
      </c>
      <c r="AS64" s="11">
        <f t="shared" si="7"/>
        <v>0</v>
      </c>
      <c r="AT64" s="11">
        <f t="shared" si="7"/>
        <v>0</v>
      </c>
    </row>
    <row r="65" spans="1:46">
      <c r="A65" s="17"/>
      <c r="F65" s="7"/>
      <c r="G65" s="69"/>
      <c r="H65" s="206"/>
      <c r="I65" s="67"/>
      <c r="J65" s="206"/>
      <c r="L65" s="644">
        <f t="shared" si="2"/>
        <v>0</v>
      </c>
      <c r="M65" s="2"/>
      <c r="O65" s="2"/>
      <c r="Q65" s="2"/>
      <c r="R65" s="2"/>
      <c r="S65" s="7"/>
      <c r="AA65" s="230">
        <f t="shared" si="6"/>
        <v>0</v>
      </c>
      <c r="AB65" s="230">
        <f t="shared" si="6"/>
        <v>0</v>
      </c>
      <c r="AC65" s="230">
        <f t="shared" si="6"/>
        <v>0</v>
      </c>
      <c r="AD65" s="230">
        <f t="shared" si="6"/>
        <v>0</v>
      </c>
      <c r="AE65" s="230">
        <f t="shared" si="6"/>
        <v>0</v>
      </c>
      <c r="AF65" s="230">
        <f t="shared" si="6"/>
        <v>0</v>
      </c>
      <c r="AG65" s="230">
        <f t="shared" si="6"/>
        <v>0</v>
      </c>
      <c r="AN65" s="11">
        <f t="shared" si="7"/>
        <v>0</v>
      </c>
      <c r="AO65" s="11">
        <f t="shared" si="7"/>
        <v>0</v>
      </c>
      <c r="AP65" s="11">
        <f t="shared" si="7"/>
        <v>0</v>
      </c>
      <c r="AQ65" s="11">
        <f t="shared" si="7"/>
        <v>0</v>
      </c>
      <c r="AR65" s="11">
        <f t="shared" si="7"/>
        <v>0</v>
      </c>
      <c r="AS65" s="11">
        <f t="shared" si="7"/>
        <v>0</v>
      </c>
      <c r="AT65" s="11">
        <f t="shared" si="7"/>
        <v>0</v>
      </c>
    </row>
    <row r="66" spans="1:46" ht="14.25" customHeight="1">
      <c r="A66" s="17"/>
      <c r="C66" t="s">
        <v>206</v>
      </c>
      <c r="F66" s="7"/>
      <c r="G66" s="69">
        <v>9</v>
      </c>
      <c r="H66" s="206" t="s">
        <v>19</v>
      </c>
      <c r="I66" s="67">
        <f>3070-Z3</f>
        <v>1270</v>
      </c>
      <c r="J66" s="206">
        <f>G66*I66</f>
        <v>11430</v>
      </c>
      <c r="L66" s="644">
        <f t="shared" si="2"/>
        <v>11430</v>
      </c>
      <c r="M66" s="2"/>
      <c r="O66" s="2"/>
      <c r="Q66" s="2"/>
      <c r="R66" s="2"/>
      <c r="S66" s="7"/>
      <c r="AA66" s="230">
        <f t="shared" si="6"/>
        <v>0</v>
      </c>
      <c r="AB66" s="230">
        <f t="shared" si="6"/>
        <v>0</v>
      </c>
      <c r="AC66" s="230">
        <f t="shared" si="6"/>
        <v>0</v>
      </c>
      <c r="AD66" s="230">
        <f t="shared" si="6"/>
        <v>0</v>
      </c>
      <c r="AE66" s="230">
        <f t="shared" si="6"/>
        <v>0</v>
      </c>
      <c r="AF66" s="230">
        <f t="shared" si="6"/>
        <v>0</v>
      </c>
      <c r="AG66" s="230">
        <f t="shared" si="6"/>
        <v>0</v>
      </c>
      <c r="AN66" s="11">
        <f t="shared" si="7"/>
        <v>0</v>
      </c>
      <c r="AO66" s="11">
        <f t="shared" si="7"/>
        <v>0</v>
      </c>
      <c r="AP66" s="11">
        <f t="shared" si="7"/>
        <v>0</v>
      </c>
      <c r="AQ66" s="11">
        <f t="shared" si="7"/>
        <v>0</v>
      </c>
      <c r="AR66" s="11">
        <f t="shared" si="7"/>
        <v>0</v>
      </c>
      <c r="AS66" s="11">
        <f t="shared" si="7"/>
        <v>0</v>
      </c>
      <c r="AT66" s="11">
        <f t="shared" si="7"/>
        <v>0</v>
      </c>
    </row>
    <row r="67" spans="1:46">
      <c r="A67" s="17"/>
      <c r="C67" t="s">
        <v>739</v>
      </c>
      <c r="F67" s="7"/>
      <c r="G67" s="69">
        <f>(AR5-AC3)*G66</f>
        <v>25.450200000000002</v>
      </c>
      <c r="H67" s="206" t="s">
        <v>18</v>
      </c>
      <c r="I67" s="227">
        <f>I70</f>
        <v>37.441176470588232</v>
      </c>
      <c r="J67" s="206">
        <f>G67*I67</f>
        <v>952.88542941176468</v>
      </c>
      <c r="L67" s="644">
        <f t="shared" si="2"/>
        <v>952.88542941176468</v>
      </c>
      <c r="M67" s="2"/>
      <c r="O67" s="2"/>
      <c r="Q67" s="2"/>
      <c r="R67" s="2"/>
      <c r="S67" s="7"/>
      <c r="AA67" s="230">
        <f t="shared" si="6"/>
        <v>0</v>
      </c>
      <c r="AB67" s="230">
        <f t="shared" si="6"/>
        <v>0</v>
      </c>
      <c r="AC67" s="230">
        <f t="shared" si="6"/>
        <v>0</v>
      </c>
      <c r="AD67" s="230">
        <f t="shared" si="6"/>
        <v>0</v>
      </c>
      <c r="AE67" s="230">
        <f t="shared" si="6"/>
        <v>0</v>
      </c>
      <c r="AF67" s="230">
        <f t="shared" si="6"/>
        <v>0</v>
      </c>
      <c r="AG67" s="230">
        <f t="shared" si="6"/>
        <v>0</v>
      </c>
      <c r="AN67" s="11">
        <f t="shared" si="7"/>
        <v>0</v>
      </c>
      <c r="AO67" s="11">
        <f t="shared" si="7"/>
        <v>0</v>
      </c>
      <c r="AP67" s="11">
        <f t="shared" si="7"/>
        <v>0</v>
      </c>
      <c r="AQ67" s="11">
        <f t="shared" si="7"/>
        <v>0</v>
      </c>
      <c r="AR67" s="11">
        <f t="shared" si="7"/>
        <v>0</v>
      </c>
      <c r="AS67" s="11">
        <f t="shared" si="7"/>
        <v>0</v>
      </c>
      <c r="AT67" s="11">
        <f t="shared" si="7"/>
        <v>0</v>
      </c>
    </row>
    <row r="68" spans="1:46">
      <c r="A68" s="17"/>
      <c r="F68" s="7"/>
      <c r="G68" s="69"/>
      <c r="H68" s="206"/>
      <c r="I68" s="227"/>
      <c r="J68" s="206"/>
      <c r="L68" s="644">
        <f t="shared" si="2"/>
        <v>0</v>
      </c>
      <c r="M68" s="2"/>
      <c r="O68" s="2"/>
      <c r="Q68" s="2"/>
      <c r="R68" s="2"/>
      <c r="S68" s="7"/>
      <c r="AA68" s="230">
        <f t="shared" si="6"/>
        <v>0</v>
      </c>
      <c r="AB68" s="230">
        <f t="shared" si="6"/>
        <v>0</v>
      </c>
      <c r="AC68" s="230">
        <f t="shared" si="6"/>
        <v>0</v>
      </c>
      <c r="AD68" s="230">
        <f t="shared" si="6"/>
        <v>0</v>
      </c>
      <c r="AE68" s="230">
        <f t="shared" si="6"/>
        <v>0</v>
      </c>
      <c r="AF68" s="230">
        <f t="shared" si="6"/>
        <v>0</v>
      </c>
      <c r="AG68" s="230">
        <f t="shared" si="6"/>
        <v>0</v>
      </c>
      <c r="AN68" s="11">
        <f t="shared" si="7"/>
        <v>0</v>
      </c>
      <c r="AO68" s="11">
        <f t="shared" si="7"/>
        <v>0</v>
      </c>
      <c r="AP68" s="11">
        <f t="shared" si="7"/>
        <v>0</v>
      </c>
      <c r="AQ68" s="11">
        <f t="shared" si="7"/>
        <v>0</v>
      </c>
      <c r="AR68" s="11">
        <f t="shared" si="7"/>
        <v>0</v>
      </c>
      <c r="AS68" s="11">
        <f t="shared" si="7"/>
        <v>0</v>
      </c>
      <c r="AT68" s="11">
        <f t="shared" si="7"/>
        <v>0</v>
      </c>
    </row>
    <row r="69" spans="1:46">
      <c r="A69" s="17"/>
      <c r="C69" t="s">
        <v>741</v>
      </c>
      <c r="F69" s="7"/>
      <c r="G69" s="69">
        <v>0</v>
      </c>
      <c r="H69" s="206" t="s">
        <v>19</v>
      </c>
      <c r="I69" s="67">
        <f>5000-Z3</f>
        <v>3200</v>
      </c>
      <c r="J69" s="206">
        <f>G69*I69</f>
        <v>0</v>
      </c>
      <c r="L69" s="644">
        <f t="shared" si="2"/>
        <v>0</v>
      </c>
      <c r="M69" s="2"/>
      <c r="O69" s="2"/>
      <c r="Q69" s="2"/>
      <c r="R69" s="2"/>
      <c r="S69" s="7"/>
      <c r="AA69" s="230">
        <f t="shared" si="6"/>
        <v>0</v>
      </c>
      <c r="AB69" s="230">
        <f t="shared" si="6"/>
        <v>0</v>
      </c>
      <c r="AC69" s="230">
        <f t="shared" si="6"/>
        <v>0</v>
      </c>
      <c r="AD69" s="230">
        <f t="shared" si="6"/>
        <v>0</v>
      </c>
      <c r="AE69" s="230">
        <f t="shared" si="6"/>
        <v>0</v>
      </c>
      <c r="AF69" s="230">
        <f t="shared" si="6"/>
        <v>0</v>
      </c>
      <c r="AG69" s="230">
        <f t="shared" si="6"/>
        <v>0</v>
      </c>
      <c r="AN69" s="11">
        <f t="shared" si="7"/>
        <v>0</v>
      </c>
      <c r="AO69" s="11">
        <f t="shared" si="7"/>
        <v>0</v>
      </c>
      <c r="AP69" s="11">
        <f t="shared" si="7"/>
        <v>0</v>
      </c>
      <c r="AQ69" s="11">
        <f t="shared" si="7"/>
        <v>0</v>
      </c>
      <c r="AR69" s="11">
        <f t="shared" si="7"/>
        <v>0</v>
      </c>
      <c r="AS69" s="11">
        <f t="shared" si="7"/>
        <v>0</v>
      </c>
      <c r="AT69" s="11">
        <f t="shared" si="7"/>
        <v>0</v>
      </c>
    </row>
    <row r="70" spans="1:46">
      <c r="A70" s="17"/>
      <c r="C70" t="s">
        <v>739</v>
      </c>
      <c r="F70" s="7"/>
      <c r="G70" s="69">
        <f>(AS5-AC3)*G69</f>
        <v>0</v>
      </c>
      <c r="H70" s="206" t="s">
        <v>18</v>
      </c>
      <c r="I70" s="227">
        <f>I73</f>
        <v>37.441176470588232</v>
      </c>
      <c r="J70" s="206">
        <f>G70*I70</f>
        <v>0</v>
      </c>
      <c r="L70" s="644">
        <f t="shared" si="2"/>
        <v>0</v>
      </c>
      <c r="M70" s="2"/>
      <c r="O70" s="2"/>
      <c r="Q70" s="2"/>
      <c r="R70" s="2"/>
      <c r="S70" s="7"/>
      <c r="AA70" s="230">
        <f t="shared" si="6"/>
        <v>0</v>
      </c>
      <c r="AB70" s="230">
        <f t="shared" si="6"/>
        <v>0</v>
      </c>
      <c r="AC70" s="230">
        <f t="shared" si="6"/>
        <v>0</v>
      </c>
      <c r="AD70" s="230">
        <f t="shared" si="6"/>
        <v>0</v>
      </c>
      <c r="AE70" s="230">
        <f t="shared" si="6"/>
        <v>0</v>
      </c>
      <c r="AF70" s="230">
        <f t="shared" si="6"/>
        <v>0</v>
      </c>
      <c r="AG70" s="230">
        <f t="shared" si="6"/>
        <v>0</v>
      </c>
      <c r="AM70" s="11">
        <f>AK70-AL70</f>
        <v>0</v>
      </c>
      <c r="AN70" s="11">
        <f t="shared" si="7"/>
        <v>0</v>
      </c>
      <c r="AO70" s="11">
        <f t="shared" si="7"/>
        <v>0</v>
      </c>
      <c r="AP70" s="11">
        <f t="shared" si="7"/>
        <v>0</v>
      </c>
      <c r="AQ70" s="11">
        <f t="shared" si="7"/>
        <v>0</v>
      </c>
      <c r="AR70" s="11">
        <f t="shared" si="7"/>
        <v>0</v>
      </c>
      <c r="AS70" s="11">
        <f t="shared" si="7"/>
        <v>0</v>
      </c>
      <c r="AT70" s="11">
        <f t="shared" si="7"/>
        <v>0</v>
      </c>
    </row>
    <row r="71" spans="1:46">
      <c r="A71" s="17"/>
      <c r="F71" s="7"/>
      <c r="G71" s="69"/>
      <c r="H71" s="206"/>
      <c r="I71" s="227"/>
      <c r="J71" s="206"/>
      <c r="L71" s="644">
        <f t="shared" si="2"/>
        <v>0</v>
      </c>
      <c r="M71" s="2"/>
      <c r="O71" s="2"/>
      <c r="Q71" s="2"/>
      <c r="R71" s="2"/>
      <c r="S71" s="7"/>
      <c r="AA71" s="230">
        <f t="shared" si="6"/>
        <v>0</v>
      </c>
      <c r="AB71" s="230">
        <f t="shared" si="6"/>
        <v>0</v>
      </c>
      <c r="AC71" s="230">
        <f t="shared" si="6"/>
        <v>0</v>
      </c>
      <c r="AD71" s="230">
        <f t="shared" si="6"/>
        <v>0</v>
      </c>
      <c r="AE71" s="230">
        <f t="shared" si="6"/>
        <v>0</v>
      </c>
      <c r="AF71" s="230">
        <f t="shared" si="6"/>
        <v>0</v>
      </c>
      <c r="AG71" s="230">
        <f t="shared" si="6"/>
        <v>0</v>
      </c>
      <c r="AN71" s="11">
        <f t="shared" si="7"/>
        <v>0</v>
      </c>
      <c r="AO71" s="11">
        <f t="shared" si="7"/>
        <v>0</v>
      </c>
      <c r="AP71" s="11">
        <f t="shared" si="7"/>
        <v>0</v>
      </c>
      <c r="AQ71" s="11">
        <f t="shared" si="7"/>
        <v>0</v>
      </c>
      <c r="AR71" s="11">
        <f t="shared" si="7"/>
        <v>0</v>
      </c>
      <c r="AS71" s="11">
        <f t="shared" si="7"/>
        <v>0</v>
      </c>
      <c r="AT71" s="11">
        <f t="shared" si="7"/>
        <v>0</v>
      </c>
    </row>
    <row r="72" spans="1:46">
      <c r="A72" s="17"/>
      <c r="C72" t="s">
        <v>1533</v>
      </c>
      <c r="F72" s="7"/>
      <c r="G72" s="69">
        <v>2</v>
      </c>
      <c r="H72" s="206" t="s">
        <v>19</v>
      </c>
      <c r="I72" s="67">
        <v>4850</v>
      </c>
      <c r="J72" s="206">
        <f>G72*I72</f>
        <v>9700</v>
      </c>
      <c r="L72" s="644">
        <f t="shared" si="2"/>
        <v>9700</v>
      </c>
      <c r="M72" s="2"/>
      <c r="O72" s="2"/>
      <c r="Q72" s="2"/>
      <c r="R72" s="2"/>
      <c r="S72" s="7"/>
      <c r="AA72" s="230">
        <f t="shared" si="6"/>
        <v>0</v>
      </c>
      <c r="AB72" s="230">
        <f t="shared" si="6"/>
        <v>0</v>
      </c>
      <c r="AC72" s="230">
        <f t="shared" si="6"/>
        <v>0</v>
      </c>
      <c r="AD72" s="230">
        <f t="shared" si="6"/>
        <v>0</v>
      </c>
      <c r="AE72" s="230">
        <f t="shared" si="6"/>
        <v>0</v>
      </c>
      <c r="AF72" s="230">
        <f t="shared" si="6"/>
        <v>0</v>
      </c>
      <c r="AG72" s="230">
        <f t="shared" si="6"/>
        <v>0</v>
      </c>
      <c r="AM72" s="11">
        <f>AK72-AL72</f>
        <v>0</v>
      </c>
      <c r="AN72" s="11">
        <f t="shared" si="7"/>
        <v>0</v>
      </c>
      <c r="AO72" s="11">
        <f t="shared" si="7"/>
        <v>0</v>
      </c>
      <c r="AP72" s="11">
        <f t="shared" si="7"/>
        <v>0</v>
      </c>
      <c r="AQ72" s="11">
        <f t="shared" si="7"/>
        <v>0</v>
      </c>
      <c r="AR72" s="11">
        <f t="shared" si="7"/>
        <v>0</v>
      </c>
      <c r="AS72" s="11">
        <f t="shared" si="7"/>
        <v>0</v>
      </c>
      <c r="AT72" s="11">
        <f t="shared" si="7"/>
        <v>0</v>
      </c>
    </row>
    <row r="73" spans="1:46">
      <c r="A73" s="17"/>
      <c r="C73" t="s">
        <v>739</v>
      </c>
      <c r="F73" s="7"/>
      <c r="G73" s="69">
        <f>(AT5-AC3)*G72</f>
        <v>13.573439999999998</v>
      </c>
      <c r="H73" s="206" t="s">
        <v>18</v>
      </c>
      <c r="I73" s="67">
        <f>I79</f>
        <v>37.441176470588232</v>
      </c>
      <c r="J73" s="206">
        <f>G73*I73</f>
        <v>508.20556235294106</v>
      </c>
      <c r="L73" s="644">
        <f t="shared" si="2"/>
        <v>508.20556235294106</v>
      </c>
      <c r="M73" s="2"/>
      <c r="O73" s="2"/>
      <c r="Q73" s="2"/>
      <c r="R73" s="2"/>
      <c r="S73" s="7"/>
      <c r="AA73" s="230">
        <f t="shared" si="6"/>
        <v>0</v>
      </c>
      <c r="AB73" s="230">
        <f t="shared" si="6"/>
        <v>0</v>
      </c>
      <c r="AC73" s="230">
        <f t="shared" si="6"/>
        <v>0</v>
      </c>
      <c r="AD73" s="230">
        <f t="shared" si="6"/>
        <v>0</v>
      </c>
      <c r="AE73" s="230">
        <f t="shared" si="6"/>
        <v>0</v>
      </c>
      <c r="AF73" s="230">
        <f t="shared" si="6"/>
        <v>0</v>
      </c>
      <c r="AG73" s="230">
        <f t="shared" si="6"/>
        <v>0</v>
      </c>
      <c r="AM73" s="11">
        <f>AK73-AL73</f>
        <v>0</v>
      </c>
      <c r="AN73" s="11">
        <f t="shared" ref="AN73:AT74" si="8">IF($AJ73=AN$7,1,0)</f>
        <v>0</v>
      </c>
      <c r="AO73" s="11">
        <f t="shared" si="8"/>
        <v>0</v>
      </c>
      <c r="AP73" s="11">
        <f t="shared" si="8"/>
        <v>0</v>
      </c>
      <c r="AQ73" s="11">
        <f t="shared" si="8"/>
        <v>0</v>
      </c>
      <c r="AR73" s="11">
        <f t="shared" si="8"/>
        <v>0</v>
      </c>
      <c r="AS73" s="11">
        <f t="shared" si="8"/>
        <v>0</v>
      </c>
      <c r="AT73" s="11">
        <f t="shared" si="8"/>
        <v>0</v>
      </c>
    </row>
    <row r="74" spans="1:46">
      <c r="A74" s="17"/>
      <c r="F74" s="7"/>
      <c r="G74" s="69"/>
      <c r="H74" s="206"/>
      <c r="I74" s="67"/>
      <c r="J74" s="206"/>
      <c r="L74" s="644">
        <f t="shared" si="2"/>
        <v>0</v>
      </c>
      <c r="M74" s="2"/>
      <c r="O74" s="2"/>
      <c r="Q74" s="2"/>
      <c r="R74" s="2"/>
      <c r="S74" s="7"/>
      <c r="AA74" s="230">
        <f t="shared" si="6"/>
        <v>0</v>
      </c>
      <c r="AB74" s="230">
        <f t="shared" si="6"/>
        <v>0</v>
      </c>
      <c r="AC74" s="230">
        <f t="shared" si="6"/>
        <v>0</v>
      </c>
      <c r="AD74" s="230">
        <f t="shared" si="6"/>
        <v>0</v>
      </c>
      <c r="AE74" s="230">
        <f t="shared" si="6"/>
        <v>0</v>
      </c>
      <c r="AF74" s="230">
        <f t="shared" si="6"/>
        <v>0</v>
      </c>
      <c r="AG74" s="230">
        <f t="shared" si="6"/>
        <v>0</v>
      </c>
      <c r="AM74" s="11">
        <f>AK74-AL74</f>
        <v>0</v>
      </c>
      <c r="AN74" s="11">
        <f t="shared" si="8"/>
        <v>0</v>
      </c>
      <c r="AO74" s="11">
        <f t="shared" si="8"/>
        <v>0</v>
      </c>
      <c r="AP74" s="11">
        <f t="shared" si="8"/>
        <v>0</v>
      </c>
      <c r="AQ74" s="11">
        <f t="shared" si="8"/>
        <v>0</v>
      </c>
      <c r="AR74" s="11">
        <f t="shared" si="8"/>
        <v>0</v>
      </c>
      <c r="AS74" s="11">
        <f t="shared" si="8"/>
        <v>0</v>
      </c>
      <c r="AT74" s="11">
        <f t="shared" si="8"/>
        <v>0</v>
      </c>
    </row>
    <row r="75" spans="1:46">
      <c r="A75" s="17"/>
      <c r="F75" s="7"/>
      <c r="G75" s="227"/>
      <c r="H75" s="228"/>
      <c r="I75" s="227"/>
      <c r="J75" s="206"/>
      <c r="L75" s="644"/>
      <c r="M75" s="2"/>
      <c r="O75" s="2"/>
      <c r="Q75" s="2"/>
      <c r="R75" s="2"/>
      <c r="S75" s="7"/>
      <c r="AA75" s="230"/>
      <c r="AB75" s="230"/>
      <c r="AC75" s="230"/>
      <c r="AD75" s="230"/>
      <c r="AE75" s="230"/>
      <c r="AF75" s="230"/>
      <c r="AG75" s="230"/>
    </row>
    <row r="76" spans="1:46">
      <c r="A76" s="17"/>
      <c r="B76" t="s">
        <v>947</v>
      </c>
      <c r="E76" t="s">
        <v>946</v>
      </c>
      <c r="F76" s="7"/>
      <c r="G76" s="69"/>
      <c r="H76" s="206"/>
      <c r="I76" s="227"/>
      <c r="J76" s="206"/>
      <c r="L76" s="6"/>
      <c r="M76" s="2"/>
      <c r="O76" s="2"/>
      <c r="Q76" s="2"/>
      <c r="R76" s="2"/>
      <c r="S76" s="7"/>
      <c r="AA76" s="230">
        <f t="shared" ref="AA76:AG79" si="9">IF($Y76=AA$7,$Z76,0)</f>
        <v>0</v>
      </c>
      <c r="AB76" s="230">
        <f t="shared" si="9"/>
        <v>0</v>
      </c>
      <c r="AC76" s="230">
        <f t="shared" si="9"/>
        <v>0</v>
      </c>
      <c r="AD76" s="230">
        <f t="shared" si="9"/>
        <v>0</v>
      </c>
      <c r="AE76" s="230">
        <f t="shared" si="9"/>
        <v>0</v>
      </c>
      <c r="AF76" s="230">
        <f t="shared" si="9"/>
        <v>0</v>
      </c>
      <c r="AG76" s="230">
        <f t="shared" si="9"/>
        <v>0</v>
      </c>
      <c r="AM76" s="11">
        <f>AK76-AL76</f>
        <v>0</v>
      </c>
      <c r="AN76" s="11">
        <f t="shared" ref="AN76:AT79" si="10">IF($AJ76=AN$7,1,0)</f>
        <v>0</v>
      </c>
      <c r="AO76" s="11">
        <f t="shared" si="10"/>
        <v>0</v>
      </c>
      <c r="AP76" s="11">
        <f t="shared" si="10"/>
        <v>0</v>
      </c>
      <c r="AQ76" s="11">
        <f t="shared" si="10"/>
        <v>0</v>
      </c>
      <c r="AR76" s="11">
        <f t="shared" si="10"/>
        <v>0</v>
      </c>
      <c r="AS76" s="11">
        <f t="shared" si="10"/>
        <v>0</v>
      </c>
      <c r="AT76" s="11">
        <f t="shared" si="10"/>
        <v>0</v>
      </c>
    </row>
    <row r="77" spans="1:46">
      <c r="A77" s="17"/>
      <c r="C77" t="s">
        <v>41</v>
      </c>
      <c r="F77" s="7"/>
      <c r="G77" s="69">
        <v>2407</v>
      </c>
      <c r="H77" s="206" t="s">
        <v>18</v>
      </c>
      <c r="I77" s="227">
        <v>4.5</v>
      </c>
      <c r="J77" s="206">
        <f t="shared" ref="J77:J82" si="11">G77*I77</f>
        <v>10831.5</v>
      </c>
      <c r="L77" s="554">
        <f t="shared" ref="L77:L82" si="12">J77</f>
        <v>10831.5</v>
      </c>
      <c r="M77" s="2"/>
      <c r="O77" s="2"/>
      <c r="Q77" s="2"/>
      <c r="R77" s="2"/>
      <c r="S77" s="7"/>
      <c r="AA77" s="230">
        <f t="shared" si="9"/>
        <v>0</v>
      </c>
      <c r="AB77" s="230">
        <f t="shared" si="9"/>
        <v>0</v>
      </c>
      <c r="AC77" s="230">
        <f t="shared" si="9"/>
        <v>0</v>
      </c>
      <c r="AD77" s="230">
        <f t="shared" si="9"/>
        <v>0</v>
      </c>
      <c r="AE77" s="230">
        <f t="shared" si="9"/>
        <v>0</v>
      </c>
      <c r="AF77" s="230">
        <f t="shared" si="9"/>
        <v>0</v>
      </c>
      <c r="AG77" s="230">
        <f t="shared" si="9"/>
        <v>0</v>
      </c>
      <c r="AM77" s="11">
        <f>AK77-AL77</f>
        <v>0</v>
      </c>
      <c r="AN77" s="11">
        <f t="shared" si="10"/>
        <v>0</v>
      </c>
      <c r="AO77" s="11">
        <f t="shared" si="10"/>
        <v>0</v>
      </c>
      <c r="AP77" s="11">
        <f t="shared" si="10"/>
        <v>0</v>
      </c>
      <c r="AQ77" s="11">
        <f t="shared" si="10"/>
        <v>0</v>
      </c>
      <c r="AR77" s="11">
        <f t="shared" si="10"/>
        <v>0</v>
      </c>
      <c r="AS77" s="11">
        <f t="shared" si="10"/>
        <v>0</v>
      </c>
      <c r="AT77" s="11">
        <f t="shared" si="10"/>
        <v>0</v>
      </c>
    </row>
    <row r="78" spans="1:46">
      <c r="A78" s="17"/>
      <c r="C78" t="s">
        <v>42</v>
      </c>
      <c r="F78" s="7"/>
      <c r="G78" s="69">
        <f>G77/1.5*1.3</f>
        <v>2086.0666666666671</v>
      </c>
      <c r="H78" s="206" t="s">
        <v>39</v>
      </c>
      <c r="I78" s="227">
        <v>3.5</v>
      </c>
      <c r="J78" s="206">
        <f t="shared" si="11"/>
        <v>7301.2333333333345</v>
      </c>
      <c r="L78" s="554">
        <f t="shared" si="12"/>
        <v>7301.2333333333345</v>
      </c>
      <c r="M78" s="2"/>
      <c r="O78" s="2"/>
      <c r="Q78" s="2"/>
      <c r="R78" s="2"/>
      <c r="S78" s="7"/>
      <c r="AA78" s="230">
        <f t="shared" si="9"/>
        <v>0</v>
      </c>
      <c r="AB78" s="230">
        <f t="shared" si="9"/>
        <v>0</v>
      </c>
      <c r="AC78" s="230">
        <f t="shared" si="9"/>
        <v>0</v>
      </c>
      <c r="AD78" s="230">
        <f t="shared" si="9"/>
        <v>0</v>
      </c>
      <c r="AE78" s="230">
        <f t="shared" si="9"/>
        <v>0</v>
      </c>
      <c r="AF78" s="230">
        <f t="shared" si="9"/>
        <v>0</v>
      </c>
      <c r="AG78" s="230">
        <f t="shared" si="9"/>
        <v>0</v>
      </c>
      <c r="AM78" s="11">
        <f>AK78-AL78</f>
        <v>0</v>
      </c>
      <c r="AN78" s="11">
        <f t="shared" si="10"/>
        <v>0</v>
      </c>
      <c r="AO78" s="11">
        <f t="shared" si="10"/>
        <v>0</v>
      </c>
      <c r="AP78" s="11">
        <f t="shared" si="10"/>
        <v>0</v>
      </c>
      <c r="AQ78" s="11">
        <f t="shared" si="10"/>
        <v>0</v>
      </c>
      <c r="AR78" s="11">
        <f t="shared" si="10"/>
        <v>0</v>
      </c>
      <c r="AS78" s="11">
        <f t="shared" si="10"/>
        <v>0</v>
      </c>
      <c r="AT78" s="11">
        <f t="shared" si="10"/>
        <v>0</v>
      </c>
    </row>
    <row r="79" spans="1:46">
      <c r="A79" s="17"/>
      <c r="C79" t="s">
        <v>205</v>
      </c>
      <c r="F79" s="7"/>
      <c r="G79" s="227">
        <f>G77</f>
        <v>2407</v>
      </c>
      <c r="H79" s="228" t="s">
        <v>18</v>
      </c>
      <c r="I79" s="227">
        <f>(280/8.5)+4.5</f>
        <v>37.441176470588232</v>
      </c>
      <c r="J79" s="206">
        <f t="shared" si="11"/>
        <v>90120.911764705874</v>
      </c>
      <c r="L79" s="554">
        <f t="shared" si="12"/>
        <v>90120.911764705874</v>
      </c>
      <c r="M79" s="2"/>
      <c r="O79" s="2"/>
      <c r="Q79" s="2"/>
      <c r="R79" s="2"/>
      <c r="S79" s="7"/>
      <c r="AA79" s="230">
        <f t="shared" si="9"/>
        <v>0</v>
      </c>
      <c r="AB79" s="230">
        <f t="shared" si="9"/>
        <v>0</v>
      </c>
      <c r="AC79" s="230">
        <f t="shared" si="9"/>
        <v>0</v>
      </c>
      <c r="AD79" s="230">
        <f t="shared" si="9"/>
        <v>0</v>
      </c>
      <c r="AE79" s="230">
        <f t="shared" si="9"/>
        <v>0</v>
      </c>
      <c r="AF79" s="230">
        <f t="shared" si="9"/>
        <v>0</v>
      </c>
      <c r="AG79" s="230">
        <f t="shared" si="9"/>
        <v>0</v>
      </c>
      <c r="AM79" s="11">
        <f>AK79-AL79</f>
        <v>0</v>
      </c>
      <c r="AN79" s="11">
        <f t="shared" si="10"/>
        <v>0</v>
      </c>
      <c r="AO79" s="11">
        <f t="shared" si="10"/>
        <v>0</v>
      </c>
      <c r="AP79" s="11">
        <f t="shared" si="10"/>
        <v>0</v>
      </c>
      <c r="AQ79" s="11">
        <f t="shared" si="10"/>
        <v>0</v>
      </c>
      <c r="AR79" s="11">
        <f t="shared" si="10"/>
        <v>0</v>
      </c>
      <c r="AS79" s="11">
        <f t="shared" si="10"/>
        <v>0</v>
      </c>
      <c r="AT79" s="11">
        <f t="shared" si="10"/>
        <v>0</v>
      </c>
    </row>
    <row r="80" spans="1:46">
      <c r="A80" s="17"/>
      <c r="C80" t="s">
        <v>660</v>
      </c>
      <c r="F80" s="7"/>
      <c r="G80" s="11">
        <v>3</v>
      </c>
      <c r="H80" s="13" t="s">
        <v>19</v>
      </c>
      <c r="I80" s="70">
        <v>2500</v>
      </c>
      <c r="J80" s="13">
        <f t="shared" si="11"/>
        <v>7500</v>
      </c>
      <c r="L80" s="554">
        <f t="shared" si="12"/>
        <v>7500</v>
      </c>
      <c r="M80" s="2"/>
      <c r="O80" s="2"/>
      <c r="Q80" s="2"/>
      <c r="R80" s="2"/>
      <c r="S80" s="7"/>
    </row>
    <row r="81" spans="1:46">
      <c r="A81" s="17"/>
      <c r="C81" t="s">
        <v>661</v>
      </c>
      <c r="F81" s="7"/>
      <c r="G81" s="11">
        <v>1</v>
      </c>
      <c r="H81" s="13" t="s">
        <v>19</v>
      </c>
      <c r="I81" s="70">
        <v>2500</v>
      </c>
      <c r="J81" s="13">
        <f t="shared" si="11"/>
        <v>2500</v>
      </c>
      <c r="L81" s="554">
        <f t="shared" si="12"/>
        <v>2500</v>
      </c>
      <c r="M81" s="2"/>
      <c r="O81" s="2"/>
      <c r="Q81" s="2"/>
      <c r="R81" s="2"/>
      <c r="S81" s="7"/>
    </row>
    <row r="82" spans="1:46">
      <c r="A82" s="17"/>
      <c r="C82" t="s">
        <v>20</v>
      </c>
      <c r="F82" s="7"/>
      <c r="G82" s="69">
        <v>1</v>
      </c>
      <c r="H82" s="206" t="s">
        <v>19</v>
      </c>
      <c r="I82" s="67">
        <v>7500</v>
      </c>
      <c r="J82" s="206">
        <f t="shared" si="11"/>
        <v>7500</v>
      </c>
      <c r="L82" s="554">
        <f t="shared" si="12"/>
        <v>7500</v>
      </c>
      <c r="M82" s="2"/>
      <c r="O82" s="2"/>
      <c r="Q82" s="2"/>
      <c r="R82" s="2"/>
      <c r="S82" s="7"/>
      <c r="AA82" s="230">
        <f t="shared" ref="AA82:AG82" si="13">IF($Y82=AA$7,$Z82,0)</f>
        <v>0</v>
      </c>
      <c r="AB82" s="230">
        <f t="shared" si="13"/>
        <v>0</v>
      </c>
      <c r="AC82" s="230">
        <f t="shared" si="13"/>
        <v>0</v>
      </c>
      <c r="AD82" s="230">
        <f t="shared" si="13"/>
        <v>0</v>
      </c>
      <c r="AE82" s="230">
        <f t="shared" si="13"/>
        <v>0</v>
      </c>
      <c r="AF82" s="230">
        <f t="shared" si="13"/>
        <v>0</v>
      </c>
      <c r="AG82" s="230">
        <f t="shared" si="13"/>
        <v>0</v>
      </c>
      <c r="AM82" s="11">
        <f>AK82-AL82</f>
        <v>0</v>
      </c>
      <c r="AN82" s="11">
        <f t="shared" ref="AN82:AT82" si="14">IF($AJ82=AN$7,1,0)</f>
        <v>0</v>
      </c>
      <c r="AO82" s="11">
        <f t="shared" si="14"/>
        <v>0</v>
      </c>
      <c r="AP82" s="11">
        <f t="shared" si="14"/>
        <v>0</v>
      </c>
      <c r="AQ82" s="11">
        <f t="shared" si="14"/>
        <v>0</v>
      </c>
      <c r="AR82" s="11">
        <f t="shared" si="14"/>
        <v>0</v>
      </c>
      <c r="AS82" s="11">
        <f t="shared" si="14"/>
        <v>0</v>
      </c>
      <c r="AT82" s="11">
        <f t="shared" si="14"/>
        <v>0</v>
      </c>
    </row>
    <row r="83" spans="1:46">
      <c r="A83" s="17"/>
      <c r="F83" s="7"/>
      <c r="G83" s="227"/>
      <c r="H83" s="228"/>
      <c r="I83" s="227"/>
      <c r="J83" s="206"/>
      <c r="L83" s="644"/>
      <c r="M83" s="2"/>
      <c r="O83" s="2"/>
      <c r="Q83" s="2"/>
      <c r="R83" s="2"/>
      <c r="S83" s="7"/>
      <c r="AA83" s="230"/>
      <c r="AB83" s="230"/>
      <c r="AC83" s="230"/>
      <c r="AD83" s="230"/>
      <c r="AE83" s="230"/>
      <c r="AF83" s="230"/>
      <c r="AG83" s="230"/>
    </row>
    <row r="84" spans="1:46">
      <c r="A84" s="17"/>
      <c r="B84" t="s">
        <v>942</v>
      </c>
      <c r="E84" t="s">
        <v>945</v>
      </c>
      <c r="F84" s="7"/>
      <c r="G84" s="69"/>
      <c r="H84" s="206"/>
      <c r="I84" s="227"/>
      <c r="J84" s="206"/>
      <c r="L84" s="6"/>
      <c r="M84" s="2"/>
      <c r="O84" s="2"/>
      <c r="Q84" s="2"/>
      <c r="R84" s="2"/>
      <c r="S84" s="7"/>
      <c r="AA84" s="230">
        <f t="shared" ref="AA84:AG87" si="15">IF($Y84=AA$7,$Z84,0)</f>
        <v>0</v>
      </c>
      <c r="AB84" s="230">
        <f t="shared" si="15"/>
        <v>0</v>
      </c>
      <c r="AC84" s="230">
        <f t="shared" si="15"/>
        <v>0</v>
      </c>
      <c r="AD84" s="230">
        <f t="shared" si="15"/>
        <v>0</v>
      </c>
      <c r="AE84" s="230">
        <f t="shared" si="15"/>
        <v>0</v>
      </c>
      <c r="AF84" s="230">
        <f t="shared" si="15"/>
        <v>0</v>
      </c>
      <c r="AG84" s="230">
        <f t="shared" si="15"/>
        <v>0</v>
      </c>
      <c r="AM84" s="11">
        <f>AK84-AL84</f>
        <v>0</v>
      </c>
      <c r="AN84" s="11">
        <f t="shared" ref="AN84:AT87" si="16">IF($AJ84=AN$7,1,0)</f>
        <v>0</v>
      </c>
      <c r="AO84" s="11">
        <f t="shared" si="16"/>
        <v>0</v>
      </c>
      <c r="AP84" s="11">
        <f t="shared" si="16"/>
        <v>0</v>
      </c>
      <c r="AQ84" s="11">
        <f t="shared" si="16"/>
        <v>0</v>
      </c>
      <c r="AR84" s="11">
        <f t="shared" si="16"/>
        <v>0</v>
      </c>
      <c r="AS84" s="11">
        <f t="shared" si="16"/>
        <v>0</v>
      </c>
      <c r="AT84" s="11">
        <f t="shared" si="16"/>
        <v>0</v>
      </c>
    </row>
    <row r="85" spans="1:46">
      <c r="A85" s="17"/>
      <c r="C85" t="s">
        <v>41</v>
      </c>
      <c r="F85" s="7"/>
      <c r="G85" s="69">
        <f>40*25*1.6</f>
        <v>1600</v>
      </c>
      <c r="H85" s="206" t="s">
        <v>18</v>
      </c>
      <c r="I85" s="227">
        <v>4.5</v>
      </c>
      <c r="J85" s="206">
        <f t="shared" ref="J85:J90" si="17">G85*I85</f>
        <v>7200</v>
      </c>
      <c r="L85" s="554">
        <f t="shared" ref="L85:L90" si="18">J85</f>
        <v>7200</v>
      </c>
      <c r="M85" s="2"/>
      <c r="O85" s="2"/>
      <c r="Q85" s="2"/>
      <c r="R85" s="2"/>
      <c r="S85" s="7"/>
      <c r="AA85" s="230">
        <f t="shared" si="15"/>
        <v>0</v>
      </c>
      <c r="AB85" s="230">
        <f t="shared" si="15"/>
        <v>0</v>
      </c>
      <c r="AC85" s="230">
        <f t="shared" si="15"/>
        <v>0</v>
      </c>
      <c r="AD85" s="230">
        <f t="shared" si="15"/>
        <v>0</v>
      </c>
      <c r="AE85" s="230">
        <f t="shared" si="15"/>
        <v>0</v>
      </c>
      <c r="AF85" s="230">
        <f t="shared" si="15"/>
        <v>0</v>
      </c>
      <c r="AG85" s="230">
        <f t="shared" si="15"/>
        <v>0</v>
      </c>
      <c r="AM85" s="11">
        <f>AK85-AL85</f>
        <v>0</v>
      </c>
      <c r="AN85" s="11">
        <f t="shared" si="16"/>
        <v>0</v>
      </c>
      <c r="AO85" s="11">
        <f t="shared" si="16"/>
        <v>0</v>
      </c>
      <c r="AP85" s="11">
        <f t="shared" si="16"/>
        <v>0</v>
      </c>
      <c r="AQ85" s="11">
        <f t="shared" si="16"/>
        <v>0</v>
      </c>
      <c r="AR85" s="11">
        <f t="shared" si="16"/>
        <v>0</v>
      </c>
      <c r="AS85" s="11">
        <f t="shared" si="16"/>
        <v>0</v>
      </c>
      <c r="AT85" s="11">
        <f t="shared" si="16"/>
        <v>0</v>
      </c>
    </row>
    <row r="86" spans="1:46">
      <c r="A86" s="17"/>
      <c r="C86" t="s">
        <v>42</v>
      </c>
      <c r="F86" s="7"/>
      <c r="G86" s="69">
        <f>G85/1.5*1.3</f>
        <v>1386.6666666666667</v>
      </c>
      <c r="H86" s="206" t="s">
        <v>39</v>
      </c>
      <c r="I86" s="227">
        <v>3.5</v>
      </c>
      <c r="J86" s="206">
        <f t="shared" si="17"/>
        <v>4853.3333333333339</v>
      </c>
      <c r="L86" s="554">
        <f t="shared" si="18"/>
        <v>4853.3333333333339</v>
      </c>
      <c r="M86" s="2"/>
      <c r="O86" s="2"/>
      <c r="Q86" s="2"/>
      <c r="R86" s="2"/>
      <c r="S86" s="7"/>
      <c r="AA86" s="230">
        <f t="shared" si="15"/>
        <v>0</v>
      </c>
      <c r="AB86" s="230">
        <f t="shared" si="15"/>
        <v>0</v>
      </c>
      <c r="AC86" s="230">
        <f t="shared" si="15"/>
        <v>0</v>
      </c>
      <c r="AD86" s="230">
        <f t="shared" si="15"/>
        <v>0</v>
      </c>
      <c r="AE86" s="230">
        <f t="shared" si="15"/>
        <v>0</v>
      </c>
      <c r="AF86" s="230">
        <f t="shared" si="15"/>
        <v>0</v>
      </c>
      <c r="AG86" s="230">
        <f t="shared" si="15"/>
        <v>0</v>
      </c>
      <c r="AM86" s="11">
        <f>AK86-AL86</f>
        <v>0</v>
      </c>
      <c r="AN86" s="11">
        <f t="shared" si="16"/>
        <v>0</v>
      </c>
      <c r="AO86" s="11">
        <f t="shared" si="16"/>
        <v>0</v>
      </c>
      <c r="AP86" s="11">
        <f t="shared" si="16"/>
        <v>0</v>
      </c>
      <c r="AQ86" s="11">
        <f t="shared" si="16"/>
        <v>0</v>
      </c>
      <c r="AR86" s="11">
        <f t="shared" si="16"/>
        <v>0</v>
      </c>
      <c r="AS86" s="11">
        <f t="shared" si="16"/>
        <v>0</v>
      </c>
      <c r="AT86" s="11">
        <f t="shared" si="16"/>
        <v>0</v>
      </c>
    </row>
    <row r="87" spans="1:46">
      <c r="A87" s="17"/>
      <c r="C87" t="s">
        <v>205</v>
      </c>
      <c r="F87" s="7"/>
      <c r="G87" s="227">
        <f>G85</f>
        <v>1600</v>
      </c>
      <c r="H87" s="228" t="s">
        <v>18</v>
      </c>
      <c r="I87" s="227">
        <f>(280/8.5)+4.5</f>
        <v>37.441176470588232</v>
      </c>
      <c r="J87" s="206">
        <f t="shared" si="17"/>
        <v>59905.882352941175</v>
      </c>
      <c r="L87" s="554">
        <f t="shared" si="18"/>
        <v>59905.882352941175</v>
      </c>
      <c r="M87" s="2"/>
      <c r="O87" s="2"/>
      <c r="Q87" s="2"/>
      <c r="R87" s="2"/>
      <c r="S87" s="7"/>
      <c r="AA87" s="230">
        <f t="shared" si="15"/>
        <v>0</v>
      </c>
      <c r="AB87" s="230">
        <f t="shared" si="15"/>
        <v>0</v>
      </c>
      <c r="AC87" s="230">
        <f t="shared" si="15"/>
        <v>0</v>
      </c>
      <c r="AD87" s="230">
        <f t="shared" si="15"/>
        <v>0</v>
      </c>
      <c r="AE87" s="230">
        <f t="shared" si="15"/>
        <v>0</v>
      </c>
      <c r="AF87" s="230">
        <f t="shared" si="15"/>
        <v>0</v>
      </c>
      <c r="AG87" s="230">
        <f t="shared" si="15"/>
        <v>0</v>
      </c>
      <c r="AM87" s="11">
        <f>AK87-AL87</f>
        <v>0</v>
      </c>
      <c r="AN87" s="11">
        <f t="shared" si="16"/>
        <v>0</v>
      </c>
      <c r="AO87" s="11">
        <f t="shared" si="16"/>
        <v>0</v>
      </c>
      <c r="AP87" s="11">
        <f t="shared" si="16"/>
        <v>0</v>
      </c>
      <c r="AQ87" s="11">
        <f t="shared" si="16"/>
        <v>0</v>
      </c>
      <c r="AR87" s="11">
        <f t="shared" si="16"/>
        <v>0</v>
      </c>
      <c r="AS87" s="11">
        <f t="shared" si="16"/>
        <v>0</v>
      </c>
      <c r="AT87" s="11">
        <f t="shared" si="16"/>
        <v>0</v>
      </c>
    </row>
    <row r="88" spans="1:46">
      <c r="A88" s="17"/>
      <c r="C88" t="s">
        <v>660</v>
      </c>
      <c r="F88" s="7"/>
      <c r="G88" s="11">
        <v>3</v>
      </c>
      <c r="H88" s="13" t="s">
        <v>19</v>
      </c>
      <c r="I88" s="70">
        <v>2500</v>
      </c>
      <c r="J88" s="13">
        <f t="shared" si="17"/>
        <v>7500</v>
      </c>
      <c r="L88" s="554">
        <f t="shared" si="18"/>
        <v>7500</v>
      </c>
      <c r="M88" s="2"/>
      <c r="O88" s="2"/>
      <c r="Q88" s="2"/>
      <c r="R88" s="2"/>
      <c r="S88" s="7"/>
    </row>
    <row r="89" spans="1:46">
      <c r="A89" s="17"/>
      <c r="C89" t="s">
        <v>661</v>
      </c>
      <c r="F89" s="7"/>
      <c r="G89" s="11">
        <v>1</v>
      </c>
      <c r="H89" s="13" t="s">
        <v>19</v>
      </c>
      <c r="I89" s="70">
        <v>2500</v>
      </c>
      <c r="J89" s="13">
        <f t="shared" si="17"/>
        <v>2500</v>
      </c>
      <c r="L89" s="554">
        <f t="shared" si="18"/>
        <v>2500</v>
      </c>
      <c r="M89" s="2"/>
      <c r="O89" s="2"/>
      <c r="Q89" s="2"/>
      <c r="R89" s="2"/>
      <c r="S89" s="7"/>
    </row>
    <row r="90" spans="1:46">
      <c r="A90" s="17"/>
      <c r="C90" t="s">
        <v>20</v>
      </c>
      <c r="F90" s="7"/>
      <c r="G90" s="69">
        <v>1</v>
      </c>
      <c r="H90" s="206" t="s">
        <v>19</v>
      </c>
      <c r="I90" s="67">
        <v>7500</v>
      </c>
      <c r="J90" s="206">
        <f t="shared" si="17"/>
        <v>7500</v>
      </c>
      <c r="L90" s="554">
        <f t="shared" si="18"/>
        <v>7500</v>
      </c>
      <c r="M90" s="2"/>
      <c r="O90" s="2"/>
      <c r="Q90" s="2"/>
      <c r="R90" s="2"/>
      <c r="S90" s="7"/>
      <c r="AA90" s="230">
        <f t="shared" ref="AA90:AG90" si="19">IF($Y90=AA$7,$Z90,0)</f>
        <v>0</v>
      </c>
      <c r="AB90" s="230">
        <f t="shared" si="19"/>
        <v>0</v>
      </c>
      <c r="AC90" s="230">
        <f t="shared" si="19"/>
        <v>0</v>
      </c>
      <c r="AD90" s="230">
        <f t="shared" si="19"/>
        <v>0</v>
      </c>
      <c r="AE90" s="230">
        <f t="shared" si="19"/>
        <v>0</v>
      </c>
      <c r="AF90" s="230">
        <f t="shared" si="19"/>
        <v>0</v>
      </c>
      <c r="AG90" s="230">
        <f t="shared" si="19"/>
        <v>0</v>
      </c>
      <c r="AM90" s="11">
        <f>AK90-AL90</f>
        <v>0</v>
      </c>
      <c r="AN90" s="11">
        <f t="shared" ref="AN90:AT90" si="20">IF($AJ90=AN$7,1,0)</f>
        <v>0</v>
      </c>
      <c r="AO90" s="11">
        <f t="shared" si="20"/>
        <v>0</v>
      </c>
      <c r="AP90" s="11">
        <f t="shared" si="20"/>
        <v>0</v>
      </c>
      <c r="AQ90" s="11">
        <f t="shared" si="20"/>
        <v>0</v>
      </c>
      <c r="AR90" s="11">
        <f t="shared" si="20"/>
        <v>0</v>
      </c>
      <c r="AS90" s="11">
        <f t="shared" si="20"/>
        <v>0</v>
      </c>
      <c r="AT90" s="11">
        <f t="shared" si="20"/>
        <v>0</v>
      </c>
    </row>
    <row r="91" spans="1:46">
      <c r="A91" s="17"/>
      <c r="F91" s="7"/>
      <c r="G91" s="227"/>
      <c r="H91" s="228"/>
      <c r="I91" s="227"/>
      <c r="J91" s="206"/>
      <c r="L91" s="644"/>
      <c r="M91" s="2"/>
      <c r="O91" s="2"/>
      <c r="Q91" s="2"/>
      <c r="R91" s="2"/>
      <c r="S91" s="7"/>
      <c r="AA91" s="230"/>
      <c r="AB91" s="230"/>
      <c r="AC91" s="230"/>
      <c r="AD91" s="230"/>
      <c r="AE91" s="230"/>
      <c r="AF91" s="230"/>
      <c r="AG91" s="230"/>
    </row>
    <row r="92" spans="1:46">
      <c r="A92" s="17"/>
      <c r="B92" t="s">
        <v>943</v>
      </c>
      <c r="E92" t="s">
        <v>944</v>
      </c>
      <c r="F92" s="7"/>
      <c r="G92" s="69"/>
      <c r="H92" s="206"/>
      <c r="I92" s="227"/>
      <c r="J92" s="206"/>
      <c r="L92" s="6"/>
      <c r="M92" s="2"/>
      <c r="O92" s="2"/>
      <c r="Q92" s="2"/>
      <c r="R92" s="2"/>
      <c r="S92" s="7"/>
      <c r="AA92" s="230">
        <f t="shared" ref="AA92:AG95" si="21">IF($Y92=AA$7,$Z92,0)</f>
        <v>0</v>
      </c>
      <c r="AB92" s="230">
        <f t="shared" si="21"/>
        <v>0</v>
      </c>
      <c r="AC92" s="230">
        <f t="shared" si="21"/>
        <v>0</v>
      </c>
      <c r="AD92" s="230">
        <f t="shared" si="21"/>
        <v>0</v>
      </c>
      <c r="AE92" s="230">
        <f t="shared" si="21"/>
        <v>0</v>
      </c>
      <c r="AF92" s="230">
        <f t="shared" si="21"/>
        <v>0</v>
      </c>
      <c r="AG92" s="230">
        <f t="shared" si="21"/>
        <v>0</v>
      </c>
      <c r="AM92" s="11">
        <f>AK92-AL92</f>
        <v>0</v>
      </c>
      <c r="AN92" s="11">
        <f t="shared" ref="AN92:AT95" si="22">IF($AJ92=AN$7,1,0)</f>
        <v>0</v>
      </c>
      <c r="AO92" s="11">
        <f t="shared" si="22"/>
        <v>0</v>
      </c>
      <c r="AP92" s="11">
        <f t="shared" si="22"/>
        <v>0</v>
      </c>
      <c r="AQ92" s="11">
        <f t="shared" si="22"/>
        <v>0</v>
      </c>
      <c r="AR92" s="11">
        <f t="shared" si="22"/>
        <v>0</v>
      </c>
      <c r="AS92" s="11">
        <f t="shared" si="22"/>
        <v>0</v>
      </c>
      <c r="AT92" s="11">
        <f t="shared" si="22"/>
        <v>0</v>
      </c>
    </row>
    <row r="93" spans="1:46">
      <c r="A93" s="17"/>
      <c r="C93" t="s">
        <v>41</v>
      </c>
      <c r="F93" s="7"/>
      <c r="G93" s="69">
        <v>3265</v>
      </c>
      <c r="H93" s="206" t="s">
        <v>18</v>
      </c>
      <c r="I93" s="227">
        <v>4.5</v>
      </c>
      <c r="J93" s="206">
        <f t="shared" ref="J93:J98" si="23">G93*I93</f>
        <v>14692.5</v>
      </c>
      <c r="L93" s="554">
        <f t="shared" ref="L93:L99" si="24">J93</f>
        <v>14692.5</v>
      </c>
      <c r="M93" s="2"/>
      <c r="O93" s="2"/>
      <c r="Q93" s="2"/>
      <c r="R93" s="2"/>
      <c r="S93" s="7"/>
      <c r="AA93" s="230">
        <f t="shared" si="21"/>
        <v>0</v>
      </c>
      <c r="AB93" s="230">
        <f t="shared" si="21"/>
        <v>0</v>
      </c>
      <c r="AC93" s="230">
        <f t="shared" si="21"/>
        <v>0</v>
      </c>
      <c r="AD93" s="230">
        <f t="shared" si="21"/>
        <v>0</v>
      </c>
      <c r="AE93" s="230">
        <f t="shared" si="21"/>
        <v>0</v>
      </c>
      <c r="AF93" s="230">
        <f t="shared" si="21"/>
        <v>0</v>
      </c>
      <c r="AG93" s="230">
        <f t="shared" si="21"/>
        <v>0</v>
      </c>
      <c r="AM93" s="11">
        <f>AK93-AL93</f>
        <v>0</v>
      </c>
      <c r="AN93" s="11">
        <f t="shared" si="22"/>
        <v>0</v>
      </c>
      <c r="AO93" s="11">
        <f t="shared" si="22"/>
        <v>0</v>
      </c>
      <c r="AP93" s="11">
        <f t="shared" si="22"/>
        <v>0</v>
      </c>
      <c r="AQ93" s="11">
        <f t="shared" si="22"/>
        <v>0</v>
      </c>
      <c r="AR93" s="11">
        <f t="shared" si="22"/>
        <v>0</v>
      </c>
      <c r="AS93" s="11">
        <f t="shared" si="22"/>
        <v>0</v>
      </c>
      <c r="AT93" s="11">
        <f t="shared" si="22"/>
        <v>0</v>
      </c>
    </row>
    <row r="94" spans="1:46">
      <c r="A94" s="17"/>
      <c r="C94" t="s">
        <v>42</v>
      </c>
      <c r="F94" s="7"/>
      <c r="G94" s="69">
        <f>G93/1.5*1.3</f>
        <v>2829.6666666666665</v>
      </c>
      <c r="H94" s="206" t="s">
        <v>39</v>
      </c>
      <c r="I94" s="227">
        <v>3.5</v>
      </c>
      <c r="J94" s="206">
        <f t="shared" si="23"/>
        <v>9903.8333333333321</v>
      </c>
      <c r="L94" s="554">
        <f t="shared" si="24"/>
        <v>9903.8333333333321</v>
      </c>
      <c r="M94" s="2"/>
      <c r="O94" s="2"/>
      <c r="Q94" s="2"/>
      <c r="R94" s="2"/>
      <c r="S94" s="7"/>
      <c r="AA94" s="230">
        <f t="shared" si="21"/>
        <v>0</v>
      </c>
      <c r="AB94" s="230">
        <f t="shared" si="21"/>
        <v>0</v>
      </c>
      <c r="AC94" s="230">
        <f t="shared" si="21"/>
        <v>0</v>
      </c>
      <c r="AD94" s="230">
        <f t="shared" si="21"/>
        <v>0</v>
      </c>
      <c r="AE94" s="230">
        <f t="shared" si="21"/>
        <v>0</v>
      </c>
      <c r="AF94" s="230">
        <f t="shared" si="21"/>
        <v>0</v>
      </c>
      <c r="AG94" s="230">
        <f t="shared" si="21"/>
        <v>0</v>
      </c>
      <c r="AM94" s="11">
        <f>AK94-AL94</f>
        <v>0</v>
      </c>
      <c r="AN94" s="11">
        <f t="shared" si="22"/>
        <v>0</v>
      </c>
      <c r="AO94" s="11">
        <f t="shared" si="22"/>
        <v>0</v>
      </c>
      <c r="AP94" s="11">
        <f t="shared" si="22"/>
        <v>0</v>
      </c>
      <c r="AQ94" s="11">
        <f t="shared" si="22"/>
        <v>0</v>
      </c>
      <c r="AR94" s="11">
        <f t="shared" si="22"/>
        <v>0</v>
      </c>
      <c r="AS94" s="11">
        <f t="shared" si="22"/>
        <v>0</v>
      </c>
      <c r="AT94" s="11">
        <f t="shared" si="22"/>
        <v>0</v>
      </c>
    </row>
    <row r="95" spans="1:46">
      <c r="A95" s="17"/>
      <c r="C95" t="s">
        <v>205</v>
      </c>
      <c r="F95" s="7"/>
      <c r="G95" s="227">
        <f>G93</f>
        <v>3265</v>
      </c>
      <c r="H95" s="228" t="s">
        <v>18</v>
      </c>
      <c r="I95" s="227">
        <f>(280/8.5)+4.5</f>
        <v>37.441176470588232</v>
      </c>
      <c r="J95" s="206">
        <f t="shared" si="23"/>
        <v>122245.44117647057</v>
      </c>
      <c r="L95" s="554">
        <f t="shared" si="24"/>
        <v>122245.44117647057</v>
      </c>
      <c r="M95" s="2"/>
      <c r="O95" s="2"/>
      <c r="Q95" s="2"/>
      <c r="R95" s="2"/>
      <c r="S95" s="7"/>
      <c r="AA95" s="230">
        <f t="shared" si="21"/>
        <v>0</v>
      </c>
      <c r="AB95" s="230">
        <f t="shared" si="21"/>
        <v>0</v>
      </c>
      <c r="AC95" s="230">
        <f t="shared" si="21"/>
        <v>0</v>
      </c>
      <c r="AD95" s="230">
        <f t="shared" si="21"/>
        <v>0</v>
      </c>
      <c r="AE95" s="230">
        <f t="shared" si="21"/>
        <v>0</v>
      </c>
      <c r="AF95" s="230">
        <f t="shared" si="21"/>
        <v>0</v>
      </c>
      <c r="AG95" s="230">
        <f t="shared" si="21"/>
        <v>0</v>
      </c>
      <c r="AM95" s="11">
        <f>AK95-AL95</f>
        <v>0</v>
      </c>
      <c r="AN95" s="11">
        <f t="shared" si="22"/>
        <v>0</v>
      </c>
      <c r="AO95" s="11">
        <f t="shared" si="22"/>
        <v>0</v>
      </c>
      <c r="AP95" s="11">
        <f t="shared" si="22"/>
        <v>0</v>
      </c>
      <c r="AQ95" s="11">
        <f t="shared" si="22"/>
        <v>0</v>
      </c>
      <c r="AR95" s="11">
        <f t="shared" si="22"/>
        <v>0</v>
      </c>
      <c r="AS95" s="11">
        <f t="shared" si="22"/>
        <v>0</v>
      </c>
      <c r="AT95" s="11">
        <f t="shared" si="22"/>
        <v>0</v>
      </c>
    </row>
    <row r="96" spans="1:46">
      <c r="A96" s="17"/>
      <c r="C96" t="s">
        <v>660</v>
      </c>
      <c r="F96" s="7"/>
      <c r="G96" s="11">
        <v>3</v>
      </c>
      <c r="H96" s="13" t="s">
        <v>19</v>
      </c>
      <c r="I96" s="70">
        <v>2500</v>
      </c>
      <c r="J96" s="13">
        <f t="shared" si="23"/>
        <v>7500</v>
      </c>
      <c r="L96" s="554">
        <f t="shared" si="24"/>
        <v>7500</v>
      </c>
      <c r="M96" s="2"/>
      <c r="O96" s="2"/>
      <c r="Q96" s="2"/>
      <c r="R96" s="2"/>
      <c r="S96" s="7"/>
    </row>
    <row r="97" spans="1:46">
      <c r="A97" s="17"/>
      <c r="C97" t="s">
        <v>661</v>
      </c>
      <c r="F97" s="7"/>
      <c r="G97" s="11">
        <v>1</v>
      </c>
      <c r="H97" s="13" t="s">
        <v>19</v>
      </c>
      <c r="I97" s="70">
        <v>2500</v>
      </c>
      <c r="J97" s="13">
        <f t="shared" si="23"/>
        <v>2500</v>
      </c>
      <c r="L97" s="554">
        <f t="shared" si="24"/>
        <v>2500</v>
      </c>
      <c r="M97" s="2"/>
      <c r="O97" s="2"/>
      <c r="Q97" s="2"/>
      <c r="R97" s="2"/>
      <c r="S97" s="7"/>
    </row>
    <row r="98" spans="1:46">
      <c r="A98" s="17"/>
      <c r="C98" t="s">
        <v>20</v>
      </c>
      <c r="F98" s="7"/>
      <c r="G98" s="69">
        <v>1</v>
      </c>
      <c r="H98" s="206" t="s">
        <v>19</v>
      </c>
      <c r="I98" s="67">
        <v>7500</v>
      </c>
      <c r="J98" s="206">
        <f t="shared" si="23"/>
        <v>7500</v>
      </c>
      <c r="L98" s="554">
        <f t="shared" si="24"/>
        <v>7500</v>
      </c>
      <c r="M98" s="2"/>
      <c r="O98" s="2"/>
      <c r="Q98" s="2"/>
      <c r="R98" s="2"/>
      <c r="S98" s="7"/>
      <c r="AA98" s="230">
        <f t="shared" ref="AA98:AG98" si="25">IF($Y98=AA$7,$Z98,0)</f>
        <v>0</v>
      </c>
      <c r="AB98" s="230">
        <f t="shared" si="25"/>
        <v>0</v>
      </c>
      <c r="AC98" s="230">
        <f t="shared" si="25"/>
        <v>0</v>
      </c>
      <c r="AD98" s="230">
        <f t="shared" si="25"/>
        <v>0</v>
      </c>
      <c r="AE98" s="230">
        <f t="shared" si="25"/>
        <v>0</v>
      </c>
      <c r="AF98" s="230">
        <f t="shared" si="25"/>
        <v>0</v>
      </c>
      <c r="AG98" s="230">
        <f t="shared" si="25"/>
        <v>0</v>
      </c>
      <c r="AM98" s="11">
        <f>AK98-AL98</f>
        <v>0</v>
      </c>
      <c r="AN98" s="11">
        <f t="shared" ref="AN98:AT98" si="26">IF($AJ98=AN$7,1,0)</f>
        <v>0</v>
      </c>
      <c r="AO98" s="11">
        <f t="shared" si="26"/>
        <v>0</v>
      </c>
      <c r="AP98" s="11">
        <f t="shared" si="26"/>
        <v>0</v>
      </c>
      <c r="AQ98" s="11">
        <f t="shared" si="26"/>
        <v>0</v>
      </c>
      <c r="AR98" s="11">
        <f t="shared" si="26"/>
        <v>0</v>
      </c>
      <c r="AS98" s="11">
        <f t="shared" si="26"/>
        <v>0</v>
      </c>
      <c r="AT98" s="11">
        <f t="shared" si="26"/>
        <v>0</v>
      </c>
    </row>
    <row r="99" spans="1:46">
      <c r="A99" s="17"/>
      <c r="F99" s="7"/>
      <c r="G99" s="11"/>
      <c r="H99" s="13"/>
      <c r="I99" s="70"/>
      <c r="J99" s="13"/>
      <c r="L99" s="554">
        <f t="shared" si="24"/>
        <v>0</v>
      </c>
      <c r="M99" s="2"/>
      <c r="O99" s="2"/>
      <c r="Q99" s="2"/>
      <c r="R99" s="2"/>
      <c r="S99" s="7"/>
    </row>
    <row r="100" spans="1:46">
      <c r="A100" s="17"/>
      <c r="B100" t="s">
        <v>948</v>
      </c>
      <c r="F100" s="7"/>
      <c r="G100" s="69"/>
      <c r="H100" s="206"/>
      <c r="I100" s="227"/>
      <c r="J100" s="206"/>
      <c r="L100" s="6"/>
      <c r="M100" s="2"/>
      <c r="O100" s="2"/>
      <c r="Q100" s="2"/>
      <c r="R100" s="2"/>
      <c r="S100" s="7"/>
      <c r="AA100" s="230">
        <f t="shared" ref="AA100:AG103" si="27">IF($Y100=AA$7,$Z100,0)</f>
        <v>0</v>
      </c>
      <c r="AB100" s="230">
        <f t="shared" si="27"/>
        <v>0</v>
      </c>
      <c r="AC100" s="230">
        <f t="shared" si="27"/>
        <v>0</v>
      </c>
      <c r="AD100" s="230">
        <f t="shared" si="27"/>
        <v>0</v>
      </c>
      <c r="AE100" s="230">
        <f t="shared" si="27"/>
        <v>0</v>
      </c>
      <c r="AF100" s="230">
        <f t="shared" si="27"/>
        <v>0</v>
      </c>
      <c r="AG100" s="230">
        <f t="shared" si="27"/>
        <v>0</v>
      </c>
      <c r="AM100" s="11">
        <f>AK100-AL100</f>
        <v>0</v>
      </c>
      <c r="AN100" s="11">
        <f t="shared" ref="AN100:AT103" si="28">IF($AJ100=AN$7,1,0)</f>
        <v>0</v>
      </c>
      <c r="AO100" s="11">
        <f t="shared" si="28"/>
        <v>0</v>
      </c>
      <c r="AP100" s="11">
        <f t="shared" si="28"/>
        <v>0</v>
      </c>
      <c r="AQ100" s="11">
        <f t="shared" si="28"/>
        <v>0</v>
      </c>
      <c r="AR100" s="11">
        <f t="shared" si="28"/>
        <v>0</v>
      </c>
      <c r="AS100" s="11">
        <f t="shared" si="28"/>
        <v>0</v>
      </c>
      <c r="AT100" s="11">
        <f t="shared" si="28"/>
        <v>0</v>
      </c>
    </row>
    <row r="101" spans="1:46">
      <c r="A101" s="17"/>
      <c r="C101" t="s">
        <v>41</v>
      </c>
      <c r="F101" s="7"/>
      <c r="G101" s="69">
        <f>150*12*1.2</f>
        <v>2160</v>
      </c>
      <c r="H101" s="206" t="s">
        <v>18</v>
      </c>
      <c r="I101" s="227">
        <v>4.5</v>
      </c>
      <c r="J101" s="206">
        <f t="shared" ref="J101:J106" si="29">G101*I101</f>
        <v>9720</v>
      </c>
      <c r="L101" s="554">
        <f t="shared" ref="L101:L106" si="30">J101</f>
        <v>9720</v>
      </c>
      <c r="M101" s="2"/>
      <c r="O101" s="2"/>
      <c r="Q101" s="2"/>
      <c r="R101" s="2"/>
      <c r="S101" s="7"/>
      <c r="AA101" s="230">
        <f t="shared" si="27"/>
        <v>0</v>
      </c>
      <c r="AB101" s="230">
        <f t="shared" si="27"/>
        <v>0</v>
      </c>
      <c r="AC101" s="230">
        <f t="shared" si="27"/>
        <v>0</v>
      </c>
      <c r="AD101" s="230">
        <f t="shared" si="27"/>
        <v>0</v>
      </c>
      <c r="AE101" s="230">
        <f t="shared" si="27"/>
        <v>0</v>
      </c>
      <c r="AF101" s="230">
        <f t="shared" si="27"/>
        <v>0</v>
      </c>
      <c r="AG101" s="230">
        <f t="shared" si="27"/>
        <v>0</v>
      </c>
      <c r="AM101" s="11">
        <f>AK101-AL101</f>
        <v>0</v>
      </c>
      <c r="AN101" s="11">
        <f t="shared" si="28"/>
        <v>0</v>
      </c>
      <c r="AO101" s="11">
        <f t="shared" si="28"/>
        <v>0</v>
      </c>
      <c r="AP101" s="11">
        <f t="shared" si="28"/>
        <v>0</v>
      </c>
      <c r="AQ101" s="11">
        <f t="shared" si="28"/>
        <v>0</v>
      </c>
      <c r="AR101" s="11">
        <f t="shared" si="28"/>
        <v>0</v>
      </c>
      <c r="AS101" s="11">
        <f t="shared" si="28"/>
        <v>0</v>
      </c>
      <c r="AT101" s="11">
        <f t="shared" si="28"/>
        <v>0</v>
      </c>
    </row>
    <row r="102" spans="1:46">
      <c r="A102" s="17"/>
      <c r="C102" t="s">
        <v>42</v>
      </c>
      <c r="F102" s="7"/>
      <c r="G102" s="69">
        <f>G101/1.5*1.3</f>
        <v>1872</v>
      </c>
      <c r="H102" s="206" t="s">
        <v>39</v>
      </c>
      <c r="I102" s="227">
        <v>3.5</v>
      </c>
      <c r="J102" s="206">
        <f t="shared" si="29"/>
        <v>6552</v>
      </c>
      <c r="L102" s="554">
        <f t="shared" si="30"/>
        <v>6552</v>
      </c>
      <c r="M102" s="2"/>
      <c r="O102" s="2"/>
      <c r="Q102" s="2"/>
      <c r="R102" s="2"/>
      <c r="S102" s="7"/>
      <c r="AA102" s="230">
        <f t="shared" si="27"/>
        <v>0</v>
      </c>
      <c r="AB102" s="230">
        <f t="shared" si="27"/>
        <v>0</v>
      </c>
      <c r="AC102" s="230">
        <f t="shared" si="27"/>
        <v>0</v>
      </c>
      <c r="AD102" s="230">
        <f t="shared" si="27"/>
        <v>0</v>
      </c>
      <c r="AE102" s="230">
        <f t="shared" si="27"/>
        <v>0</v>
      </c>
      <c r="AF102" s="230">
        <f t="shared" si="27"/>
        <v>0</v>
      </c>
      <c r="AG102" s="230">
        <f t="shared" si="27"/>
        <v>0</v>
      </c>
      <c r="AM102" s="11">
        <f>AK102-AL102</f>
        <v>0</v>
      </c>
      <c r="AN102" s="11">
        <f t="shared" si="28"/>
        <v>0</v>
      </c>
      <c r="AO102" s="11">
        <f t="shared" si="28"/>
        <v>0</v>
      </c>
      <c r="AP102" s="11">
        <f t="shared" si="28"/>
        <v>0</v>
      </c>
      <c r="AQ102" s="11">
        <f t="shared" si="28"/>
        <v>0</v>
      </c>
      <c r="AR102" s="11">
        <f t="shared" si="28"/>
        <v>0</v>
      </c>
      <c r="AS102" s="11">
        <f t="shared" si="28"/>
        <v>0</v>
      </c>
      <c r="AT102" s="11">
        <f t="shared" si="28"/>
        <v>0</v>
      </c>
    </row>
    <row r="103" spans="1:46">
      <c r="A103" s="17"/>
      <c r="C103" t="s">
        <v>205</v>
      </c>
      <c r="F103" s="7"/>
      <c r="G103" s="227">
        <f>G101</f>
        <v>2160</v>
      </c>
      <c r="H103" s="228" t="s">
        <v>18</v>
      </c>
      <c r="I103" s="227">
        <f>(280/8.5)+4.5</f>
        <v>37.441176470588232</v>
      </c>
      <c r="J103" s="206">
        <f t="shared" si="29"/>
        <v>80872.941176470587</v>
      </c>
      <c r="L103" s="554">
        <f t="shared" si="30"/>
        <v>80872.941176470587</v>
      </c>
      <c r="M103" s="2"/>
      <c r="O103" s="2"/>
      <c r="Q103" s="2"/>
      <c r="R103" s="2"/>
      <c r="S103" s="7"/>
      <c r="AA103" s="230">
        <f t="shared" si="27"/>
        <v>0</v>
      </c>
      <c r="AB103" s="230">
        <f t="shared" si="27"/>
        <v>0</v>
      </c>
      <c r="AC103" s="230">
        <f t="shared" si="27"/>
        <v>0</v>
      </c>
      <c r="AD103" s="230">
        <f t="shared" si="27"/>
        <v>0</v>
      </c>
      <c r="AE103" s="230">
        <f t="shared" si="27"/>
        <v>0</v>
      </c>
      <c r="AF103" s="230">
        <f t="shared" si="27"/>
        <v>0</v>
      </c>
      <c r="AG103" s="230">
        <f t="shared" si="27"/>
        <v>0</v>
      </c>
      <c r="AM103" s="11">
        <f>AK103-AL103</f>
        <v>0</v>
      </c>
      <c r="AN103" s="11">
        <f t="shared" si="28"/>
        <v>0</v>
      </c>
      <c r="AO103" s="11">
        <f t="shared" si="28"/>
        <v>0</v>
      </c>
      <c r="AP103" s="11">
        <f t="shared" si="28"/>
        <v>0</v>
      </c>
      <c r="AQ103" s="11">
        <f t="shared" si="28"/>
        <v>0</v>
      </c>
      <c r="AR103" s="11">
        <f t="shared" si="28"/>
        <v>0</v>
      </c>
      <c r="AS103" s="11">
        <f t="shared" si="28"/>
        <v>0</v>
      </c>
      <c r="AT103" s="11">
        <f t="shared" si="28"/>
        <v>0</v>
      </c>
    </row>
    <row r="104" spans="1:46">
      <c r="A104" s="17"/>
      <c r="C104" t="s">
        <v>660</v>
      </c>
      <c r="F104" s="7"/>
      <c r="G104" s="11">
        <v>3</v>
      </c>
      <c r="H104" s="13" t="s">
        <v>19</v>
      </c>
      <c r="I104" s="70">
        <v>2500</v>
      </c>
      <c r="J104" s="13">
        <f t="shared" si="29"/>
        <v>7500</v>
      </c>
      <c r="L104" s="554">
        <f t="shared" si="30"/>
        <v>7500</v>
      </c>
      <c r="M104" s="2"/>
      <c r="O104" s="2"/>
      <c r="Q104" s="2"/>
      <c r="R104" s="2"/>
      <c r="S104" s="7"/>
    </row>
    <row r="105" spans="1:46">
      <c r="A105" s="17"/>
      <c r="C105" t="s">
        <v>661</v>
      </c>
      <c r="F105" s="7"/>
      <c r="G105" s="11">
        <v>1</v>
      </c>
      <c r="H105" s="13" t="s">
        <v>19</v>
      </c>
      <c r="I105" s="70">
        <v>2500</v>
      </c>
      <c r="J105" s="13">
        <f t="shared" si="29"/>
        <v>2500</v>
      </c>
      <c r="L105" s="554">
        <f t="shared" si="30"/>
        <v>2500</v>
      </c>
      <c r="M105" s="2"/>
      <c r="O105" s="2"/>
      <c r="Q105" s="2"/>
      <c r="R105" s="2"/>
      <c r="S105" s="7"/>
    </row>
    <row r="106" spans="1:46">
      <c r="A106" s="17"/>
      <c r="C106" t="s">
        <v>20</v>
      </c>
      <c r="F106" s="7"/>
      <c r="G106" s="69"/>
      <c r="H106" s="206" t="s">
        <v>19</v>
      </c>
      <c r="I106" s="67">
        <v>7500</v>
      </c>
      <c r="J106" s="206">
        <f t="shared" si="29"/>
        <v>0</v>
      </c>
      <c r="L106" s="554">
        <f t="shared" si="30"/>
        <v>0</v>
      </c>
      <c r="M106" s="2"/>
      <c r="O106" s="2"/>
      <c r="Q106" s="2"/>
      <c r="R106" s="2"/>
      <c r="S106" s="7"/>
      <c r="AA106" s="230">
        <f t="shared" ref="AA106:AG106" si="31">IF($Y106=AA$7,$Z106,0)</f>
        <v>0</v>
      </c>
      <c r="AB106" s="230">
        <f t="shared" si="31"/>
        <v>0</v>
      </c>
      <c r="AC106" s="230">
        <f t="shared" si="31"/>
        <v>0</v>
      </c>
      <c r="AD106" s="230">
        <f t="shared" si="31"/>
        <v>0</v>
      </c>
      <c r="AE106" s="230">
        <f t="shared" si="31"/>
        <v>0</v>
      </c>
      <c r="AF106" s="230">
        <f t="shared" si="31"/>
        <v>0</v>
      </c>
      <c r="AG106" s="230">
        <f t="shared" si="31"/>
        <v>0</v>
      </c>
      <c r="AM106" s="11">
        <f>AK106-AL106</f>
        <v>0</v>
      </c>
      <c r="AN106" s="11">
        <f t="shared" ref="AN106:AT106" si="32">IF($AJ106=AN$7,1,0)</f>
        <v>0</v>
      </c>
      <c r="AO106" s="11">
        <f t="shared" si="32"/>
        <v>0</v>
      </c>
      <c r="AP106" s="11">
        <f t="shared" si="32"/>
        <v>0</v>
      </c>
      <c r="AQ106" s="11">
        <f t="shared" si="32"/>
        <v>0</v>
      </c>
      <c r="AR106" s="11">
        <f t="shared" si="32"/>
        <v>0</v>
      </c>
      <c r="AS106" s="11">
        <f t="shared" si="32"/>
        <v>0</v>
      </c>
      <c r="AT106" s="11">
        <f t="shared" si="32"/>
        <v>0</v>
      </c>
    </row>
    <row r="107" spans="1:46">
      <c r="A107" s="17"/>
      <c r="F107" s="7"/>
      <c r="G107" s="11"/>
      <c r="H107" s="13"/>
      <c r="I107" s="70"/>
      <c r="J107" s="13"/>
      <c r="L107" s="554">
        <f>J107</f>
        <v>0</v>
      </c>
      <c r="M107" s="2"/>
      <c r="O107" s="2"/>
      <c r="Q107" s="2"/>
      <c r="R107" s="2"/>
      <c r="S107" s="7"/>
    </row>
    <row r="108" spans="1:46">
      <c r="A108" s="17"/>
      <c r="B108" t="s">
        <v>743</v>
      </c>
      <c r="F108" s="7"/>
      <c r="G108" s="11"/>
      <c r="H108" s="13"/>
      <c r="I108" s="70"/>
      <c r="J108" s="13"/>
      <c r="L108" s="554">
        <f>J108</f>
        <v>0</v>
      </c>
      <c r="M108" s="2"/>
      <c r="O108" s="2"/>
      <c r="Q108" s="2"/>
      <c r="R108" s="2"/>
      <c r="S108" s="7"/>
    </row>
    <row r="109" spans="1:46">
      <c r="A109" s="17"/>
      <c r="C109" t="s">
        <v>661</v>
      </c>
      <c r="F109" s="7"/>
      <c r="G109" s="11">
        <v>1</v>
      </c>
      <c r="H109" s="13" t="s">
        <v>19</v>
      </c>
      <c r="I109" s="70">
        <v>2500</v>
      </c>
      <c r="J109" s="13">
        <f>G109*I109</f>
        <v>2500</v>
      </c>
      <c r="L109" s="554">
        <f>J109</f>
        <v>2500</v>
      </c>
      <c r="M109" s="2"/>
      <c r="O109" s="2"/>
      <c r="Q109" s="2"/>
      <c r="R109" s="2"/>
      <c r="S109" s="7"/>
    </row>
    <row r="110" spans="1:46">
      <c r="A110" s="17"/>
      <c r="C110" t="s">
        <v>20</v>
      </c>
      <c r="F110" s="7"/>
      <c r="G110" s="69">
        <v>1</v>
      </c>
      <c r="H110" s="206" t="s">
        <v>19</v>
      </c>
      <c r="I110" s="67">
        <v>7500</v>
      </c>
      <c r="J110" s="13">
        <f>G110*I110</f>
        <v>7500</v>
      </c>
      <c r="L110" s="554">
        <f>J110</f>
        <v>7500</v>
      </c>
      <c r="M110" s="2"/>
      <c r="O110" s="2"/>
      <c r="Q110" s="2"/>
      <c r="R110" s="2"/>
      <c r="S110" s="7"/>
    </row>
    <row r="111" spans="1:46">
      <c r="A111" s="17"/>
      <c r="B111" s="6"/>
      <c r="F111" s="7"/>
      <c r="G111" s="11"/>
      <c r="H111" s="13"/>
      <c r="I111" s="21"/>
      <c r="J111" s="13"/>
      <c r="L111" s="6"/>
      <c r="M111" s="2"/>
      <c r="O111" s="2"/>
      <c r="Q111" s="2"/>
      <c r="R111" s="2"/>
      <c r="S111" s="7"/>
    </row>
    <row r="112" spans="1:46" ht="16" thickBot="1">
      <c r="A112" s="17"/>
      <c r="B112" s="6"/>
      <c r="F112" s="7"/>
      <c r="G112" s="11"/>
      <c r="H112" s="13"/>
      <c r="I112" s="21"/>
      <c r="J112" s="47">
        <f>SUM(J9:J111)</f>
        <v>650988.54035414115</v>
      </c>
      <c r="L112" s="47">
        <f t="shared" ref="L112:S112" si="33">SUM(L9:L111)</f>
        <v>650988.54035414115</v>
      </c>
      <c r="M112" s="47">
        <f t="shared" si="33"/>
        <v>0</v>
      </c>
      <c r="N112" s="47">
        <f t="shared" si="33"/>
        <v>0</v>
      </c>
      <c r="O112" s="47">
        <f t="shared" si="33"/>
        <v>0</v>
      </c>
      <c r="P112" s="47">
        <f t="shared" si="33"/>
        <v>0</v>
      </c>
      <c r="Q112" s="47">
        <f t="shared" si="33"/>
        <v>0</v>
      </c>
      <c r="R112" s="47">
        <f t="shared" si="33"/>
        <v>0</v>
      </c>
      <c r="S112" s="47">
        <f t="shared" si="33"/>
        <v>0</v>
      </c>
    </row>
    <row r="113" spans="1:19">
      <c r="A113" s="63"/>
      <c r="B113" s="8"/>
      <c r="C113" s="9"/>
      <c r="D113" s="9"/>
      <c r="E113" s="9"/>
      <c r="F113" s="10"/>
      <c r="G113" s="14"/>
      <c r="H113" s="15"/>
      <c r="I113" s="23"/>
      <c r="J113" s="15"/>
      <c r="L113" s="8"/>
      <c r="M113" s="63"/>
      <c r="N113" s="9"/>
      <c r="O113" s="63"/>
      <c r="P113" s="9"/>
      <c r="Q113" s="63"/>
      <c r="R113" s="63"/>
      <c r="S113" s="10"/>
    </row>
  </sheetData>
  <mergeCells count="14">
    <mergeCell ref="J5:J8"/>
    <mergeCell ref="L5:S5"/>
    <mergeCell ref="Q6:Q7"/>
    <mergeCell ref="R6:R7"/>
    <mergeCell ref="S6:S7"/>
    <mergeCell ref="L6:M6"/>
    <mergeCell ref="N6:O6"/>
    <mergeCell ref="P6:P7"/>
    <mergeCell ref="H2:I2"/>
    <mergeCell ref="A5:A8"/>
    <mergeCell ref="B5:F8"/>
    <mergeCell ref="G5:G8"/>
    <mergeCell ref="H5:H8"/>
    <mergeCell ref="I5:I8"/>
  </mergeCells>
  <printOptions horizontalCentered="1"/>
  <pageMargins left="0.25" right="0.25" top="0.75" bottom="0.75" header="0.3" footer="0.3"/>
  <pageSetup paperSize="9" scale="86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40AA4-66C9-3D4F-AF65-33404E289ABC}">
  <sheetPr>
    <tabColor rgb="FF92D050"/>
    <pageSetUpPr fitToPage="1"/>
  </sheetPr>
  <dimension ref="A2:J303"/>
  <sheetViews>
    <sheetView view="pageBreakPreview" topLeftCell="A58" zoomScale="198" zoomScaleNormal="100" zoomScaleSheetLayoutView="198" workbookViewId="0">
      <selection activeCell="F98" sqref="F72:F98"/>
    </sheetView>
  </sheetViews>
  <sheetFormatPr baseColWidth="10" defaultColWidth="8.83203125" defaultRowHeight="12"/>
  <cols>
    <col min="1" max="1" width="35" style="1012" customWidth="1"/>
    <col min="2" max="2" width="10" style="1012" customWidth="1"/>
    <col min="3" max="4" width="8.6640625" style="1012" customWidth="1"/>
    <col min="5" max="5" width="11.1640625" style="1012" customWidth="1"/>
    <col min="6" max="7" width="8.6640625" style="1012" customWidth="1"/>
    <col min="8" max="8" width="17.83203125" style="1012" customWidth="1"/>
    <col min="9" max="9" width="18.1640625" style="1012" customWidth="1"/>
    <col min="10" max="10" width="5.5" style="1012" customWidth="1"/>
    <col min="11" max="240" width="8.83203125" style="1012"/>
    <col min="241" max="241" width="4.5" style="1012" customWidth="1"/>
    <col min="242" max="242" width="35" style="1012" customWidth="1"/>
    <col min="243" max="243" width="10" style="1012" customWidth="1"/>
    <col min="244" max="245" width="8.6640625" style="1012" customWidth="1"/>
    <col min="246" max="246" width="11.1640625" style="1012" customWidth="1"/>
    <col min="247" max="248" width="8.6640625" style="1012" customWidth="1"/>
    <col min="249" max="249" width="17.83203125" style="1012" customWidth="1"/>
    <col min="250" max="250" width="18.1640625" style="1012" customWidth="1"/>
    <col min="251" max="251" width="5.5" style="1012" customWidth="1"/>
    <col min="252" max="252" width="35" style="1012" customWidth="1"/>
    <col min="253" max="253" width="10" style="1012" customWidth="1"/>
    <col min="254" max="255" width="8.6640625" style="1012" customWidth="1"/>
    <col min="256" max="256" width="10.1640625" style="1012" customWidth="1"/>
    <col min="257" max="258" width="8.6640625" style="1012" customWidth="1"/>
    <col min="259" max="259" width="18.33203125" style="1012" customWidth="1"/>
    <col min="260" max="260" width="18.5" style="1012" customWidth="1"/>
    <col min="261" max="261" width="6.33203125" style="1012" customWidth="1"/>
    <col min="262" max="262" width="19.83203125" style="1012" customWidth="1"/>
    <col min="263" max="496" width="8.83203125" style="1012"/>
    <col min="497" max="497" width="4.5" style="1012" customWidth="1"/>
    <col min="498" max="498" width="35" style="1012" customWidth="1"/>
    <col min="499" max="499" width="10" style="1012" customWidth="1"/>
    <col min="500" max="501" width="8.6640625" style="1012" customWidth="1"/>
    <col min="502" max="502" width="11.1640625" style="1012" customWidth="1"/>
    <col min="503" max="504" width="8.6640625" style="1012" customWidth="1"/>
    <col min="505" max="505" width="17.83203125" style="1012" customWidth="1"/>
    <col min="506" max="506" width="18.1640625" style="1012" customWidth="1"/>
    <col min="507" max="507" width="5.5" style="1012" customWidth="1"/>
    <col min="508" max="508" width="35" style="1012" customWidth="1"/>
    <col min="509" max="509" width="10" style="1012" customWidth="1"/>
    <col min="510" max="511" width="8.6640625" style="1012" customWidth="1"/>
    <col min="512" max="512" width="10.1640625" style="1012" customWidth="1"/>
    <col min="513" max="514" width="8.6640625" style="1012" customWidth="1"/>
    <col min="515" max="515" width="18.33203125" style="1012" customWidth="1"/>
    <col min="516" max="516" width="18.5" style="1012" customWidth="1"/>
    <col min="517" max="517" width="6.33203125" style="1012" customWidth="1"/>
    <col min="518" max="518" width="19.83203125" style="1012" customWidth="1"/>
    <col min="519" max="752" width="8.83203125" style="1012"/>
    <col min="753" max="753" width="4.5" style="1012" customWidth="1"/>
    <col min="754" max="754" width="35" style="1012" customWidth="1"/>
    <col min="755" max="755" width="10" style="1012" customWidth="1"/>
    <col min="756" max="757" width="8.6640625" style="1012" customWidth="1"/>
    <col min="758" max="758" width="11.1640625" style="1012" customWidth="1"/>
    <col min="759" max="760" width="8.6640625" style="1012" customWidth="1"/>
    <col min="761" max="761" width="17.83203125" style="1012" customWidth="1"/>
    <col min="762" max="762" width="18.1640625" style="1012" customWidth="1"/>
    <col min="763" max="763" width="5.5" style="1012" customWidth="1"/>
    <col min="764" max="764" width="35" style="1012" customWidth="1"/>
    <col min="765" max="765" width="10" style="1012" customWidth="1"/>
    <col min="766" max="767" width="8.6640625" style="1012" customWidth="1"/>
    <col min="768" max="768" width="10.1640625" style="1012" customWidth="1"/>
    <col min="769" max="770" width="8.6640625" style="1012" customWidth="1"/>
    <col min="771" max="771" width="18.33203125" style="1012" customWidth="1"/>
    <col min="772" max="772" width="18.5" style="1012" customWidth="1"/>
    <col min="773" max="773" width="6.33203125" style="1012" customWidth="1"/>
    <col min="774" max="774" width="19.83203125" style="1012" customWidth="1"/>
    <col min="775" max="1008" width="8.83203125" style="1012"/>
    <col min="1009" max="1009" width="4.5" style="1012" customWidth="1"/>
    <col min="1010" max="1010" width="35" style="1012" customWidth="1"/>
    <col min="1011" max="1011" width="10" style="1012" customWidth="1"/>
    <col min="1012" max="1013" width="8.6640625" style="1012" customWidth="1"/>
    <col min="1014" max="1014" width="11.1640625" style="1012" customWidth="1"/>
    <col min="1015" max="1016" width="8.6640625" style="1012" customWidth="1"/>
    <col min="1017" max="1017" width="17.83203125" style="1012" customWidth="1"/>
    <col min="1018" max="1018" width="18.1640625" style="1012" customWidth="1"/>
    <col min="1019" max="1019" width="5.5" style="1012" customWidth="1"/>
    <col min="1020" max="1020" width="35" style="1012" customWidth="1"/>
    <col min="1021" max="1021" width="10" style="1012" customWidth="1"/>
    <col min="1022" max="1023" width="8.6640625" style="1012" customWidth="1"/>
    <col min="1024" max="1024" width="10.1640625" style="1012" customWidth="1"/>
    <col min="1025" max="1026" width="8.6640625" style="1012" customWidth="1"/>
    <col min="1027" max="1027" width="18.33203125" style="1012" customWidth="1"/>
    <col min="1028" max="1028" width="18.5" style="1012" customWidth="1"/>
    <col min="1029" max="1029" width="6.33203125" style="1012" customWidth="1"/>
    <col min="1030" max="1030" width="19.83203125" style="1012" customWidth="1"/>
    <col min="1031" max="1264" width="8.83203125" style="1012"/>
    <col min="1265" max="1265" width="4.5" style="1012" customWidth="1"/>
    <col min="1266" max="1266" width="35" style="1012" customWidth="1"/>
    <col min="1267" max="1267" width="10" style="1012" customWidth="1"/>
    <col min="1268" max="1269" width="8.6640625" style="1012" customWidth="1"/>
    <col min="1270" max="1270" width="11.1640625" style="1012" customWidth="1"/>
    <col min="1271" max="1272" width="8.6640625" style="1012" customWidth="1"/>
    <col min="1273" max="1273" width="17.83203125" style="1012" customWidth="1"/>
    <col min="1274" max="1274" width="18.1640625" style="1012" customWidth="1"/>
    <col min="1275" max="1275" width="5.5" style="1012" customWidth="1"/>
    <col min="1276" max="1276" width="35" style="1012" customWidth="1"/>
    <col min="1277" max="1277" width="10" style="1012" customWidth="1"/>
    <col min="1278" max="1279" width="8.6640625" style="1012" customWidth="1"/>
    <col min="1280" max="1280" width="10.1640625" style="1012" customWidth="1"/>
    <col min="1281" max="1282" width="8.6640625" style="1012" customWidth="1"/>
    <col min="1283" max="1283" width="18.33203125" style="1012" customWidth="1"/>
    <col min="1284" max="1284" width="18.5" style="1012" customWidth="1"/>
    <col min="1285" max="1285" width="6.33203125" style="1012" customWidth="1"/>
    <col min="1286" max="1286" width="19.83203125" style="1012" customWidth="1"/>
    <col min="1287" max="1520" width="8.83203125" style="1012"/>
    <col min="1521" max="1521" width="4.5" style="1012" customWidth="1"/>
    <col min="1522" max="1522" width="35" style="1012" customWidth="1"/>
    <col min="1523" max="1523" width="10" style="1012" customWidth="1"/>
    <col min="1524" max="1525" width="8.6640625" style="1012" customWidth="1"/>
    <col min="1526" max="1526" width="11.1640625" style="1012" customWidth="1"/>
    <col min="1527" max="1528" width="8.6640625" style="1012" customWidth="1"/>
    <col min="1529" max="1529" width="17.83203125" style="1012" customWidth="1"/>
    <col min="1530" max="1530" width="18.1640625" style="1012" customWidth="1"/>
    <col min="1531" max="1531" width="5.5" style="1012" customWidth="1"/>
    <col min="1532" max="1532" width="35" style="1012" customWidth="1"/>
    <col min="1533" max="1533" width="10" style="1012" customWidth="1"/>
    <col min="1534" max="1535" width="8.6640625" style="1012" customWidth="1"/>
    <col min="1536" max="1536" width="10.1640625" style="1012" customWidth="1"/>
    <col min="1537" max="1538" width="8.6640625" style="1012" customWidth="1"/>
    <col min="1539" max="1539" width="18.33203125" style="1012" customWidth="1"/>
    <col min="1540" max="1540" width="18.5" style="1012" customWidth="1"/>
    <col min="1541" max="1541" width="6.33203125" style="1012" customWidth="1"/>
    <col min="1542" max="1542" width="19.83203125" style="1012" customWidth="1"/>
    <col min="1543" max="1776" width="8.83203125" style="1012"/>
    <col min="1777" max="1777" width="4.5" style="1012" customWidth="1"/>
    <col min="1778" max="1778" width="35" style="1012" customWidth="1"/>
    <col min="1779" max="1779" width="10" style="1012" customWidth="1"/>
    <col min="1780" max="1781" width="8.6640625" style="1012" customWidth="1"/>
    <col min="1782" max="1782" width="11.1640625" style="1012" customWidth="1"/>
    <col min="1783" max="1784" width="8.6640625" style="1012" customWidth="1"/>
    <col min="1785" max="1785" width="17.83203125" style="1012" customWidth="1"/>
    <col min="1786" max="1786" width="18.1640625" style="1012" customWidth="1"/>
    <col min="1787" max="1787" width="5.5" style="1012" customWidth="1"/>
    <col min="1788" max="1788" width="35" style="1012" customWidth="1"/>
    <col min="1789" max="1789" width="10" style="1012" customWidth="1"/>
    <col min="1790" max="1791" width="8.6640625" style="1012" customWidth="1"/>
    <col min="1792" max="1792" width="10.1640625" style="1012" customWidth="1"/>
    <col min="1793" max="1794" width="8.6640625" style="1012" customWidth="1"/>
    <col min="1795" max="1795" width="18.33203125" style="1012" customWidth="1"/>
    <col min="1796" max="1796" width="18.5" style="1012" customWidth="1"/>
    <col min="1797" max="1797" width="6.33203125" style="1012" customWidth="1"/>
    <col min="1798" max="1798" width="19.83203125" style="1012" customWidth="1"/>
    <col min="1799" max="2032" width="8.83203125" style="1012"/>
    <col min="2033" max="2033" width="4.5" style="1012" customWidth="1"/>
    <col min="2034" max="2034" width="35" style="1012" customWidth="1"/>
    <col min="2035" max="2035" width="10" style="1012" customWidth="1"/>
    <col min="2036" max="2037" width="8.6640625" style="1012" customWidth="1"/>
    <col min="2038" max="2038" width="11.1640625" style="1012" customWidth="1"/>
    <col min="2039" max="2040" width="8.6640625" style="1012" customWidth="1"/>
    <col min="2041" max="2041" width="17.83203125" style="1012" customWidth="1"/>
    <col min="2042" max="2042" width="18.1640625" style="1012" customWidth="1"/>
    <col min="2043" max="2043" width="5.5" style="1012" customWidth="1"/>
    <col min="2044" max="2044" width="35" style="1012" customWidth="1"/>
    <col min="2045" max="2045" width="10" style="1012" customWidth="1"/>
    <col min="2046" max="2047" width="8.6640625" style="1012" customWidth="1"/>
    <col min="2048" max="2048" width="10.1640625" style="1012" customWidth="1"/>
    <col min="2049" max="2050" width="8.6640625" style="1012" customWidth="1"/>
    <col min="2051" max="2051" width="18.33203125" style="1012" customWidth="1"/>
    <col min="2052" max="2052" width="18.5" style="1012" customWidth="1"/>
    <col min="2053" max="2053" width="6.33203125" style="1012" customWidth="1"/>
    <col min="2054" max="2054" width="19.83203125" style="1012" customWidth="1"/>
    <col min="2055" max="2288" width="8.83203125" style="1012"/>
    <col min="2289" max="2289" width="4.5" style="1012" customWidth="1"/>
    <col min="2290" max="2290" width="35" style="1012" customWidth="1"/>
    <col min="2291" max="2291" width="10" style="1012" customWidth="1"/>
    <col min="2292" max="2293" width="8.6640625" style="1012" customWidth="1"/>
    <col min="2294" max="2294" width="11.1640625" style="1012" customWidth="1"/>
    <col min="2295" max="2296" width="8.6640625" style="1012" customWidth="1"/>
    <col min="2297" max="2297" width="17.83203125" style="1012" customWidth="1"/>
    <col min="2298" max="2298" width="18.1640625" style="1012" customWidth="1"/>
    <col min="2299" max="2299" width="5.5" style="1012" customWidth="1"/>
    <col min="2300" max="2300" width="35" style="1012" customWidth="1"/>
    <col min="2301" max="2301" width="10" style="1012" customWidth="1"/>
    <col min="2302" max="2303" width="8.6640625" style="1012" customWidth="1"/>
    <col min="2304" max="2304" width="10.1640625" style="1012" customWidth="1"/>
    <col min="2305" max="2306" width="8.6640625" style="1012" customWidth="1"/>
    <col min="2307" max="2307" width="18.33203125" style="1012" customWidth="1"/>
    <col min="2308" max="2308" width="18.5" style="1012" customWidth="1"/>
    <col min="2309" max="2309" width="6.33203125" style="1012" customWidth="1"/>
    <col min="2310" max="2310" width="19.83203125" style="1012" customWidth="1"/>
    <col min="2311" max="2544" width="8.83203125" style="1012"/>
    <col min="2545" max="2545" width="4.5" style="1012" customWidth="1"/>
    <col min="2546" max="2546" width="35" style="1012" customWidth="1"/>
    <col min="2547" max="2547" width="10" style="1012" customWidth="1"/>
    <col min="2548" max="2549" width="8.6640625" style="1012" customWidth="1"/>
    <col min="2550" max="2550" width="11.1640625" style="1012" customWidth="1"/>
    <col min="2551" max="2552" width="8.6640625" style="1012" customWidth="1"/>
    <col min="2553" max="2553" width="17.83203125" style="1012" customWidth="1"/>
    <col min="2554" max="2554" width="18.1640625" style="1012" customWidth="1"/>
    <col min="2555" max="2555" width="5.5" style="1012" customWidth="1"/>
    <col min="2556" max="2556" width="35" style="1012" customWidth="1"/>
    <col min="2557" max="2557" width="10" style="1012" customWidth="1"/>
    <col min="2558" max="2559" width="8.6640625" style="1012" customWidth="1"/>
    <col min="2560" max="2560" width="10.1640625" style="1012" customWidth="1"/>
    <col min="2561" max="2562" width="8.6640625" style="1012" customWidth="1"/>
    <col min="2563" max="2563" width="18.33203125" style="1012" customWidth="1"/>
    <col min="2564" max="2564" width="18.5" style="1012" customWidth="1"/>
    <col min="2565" max="2565" width="6.33203125" style="1012" customWidth="1"/>
    <col min="2566" max="2566" width="19.83203125" style="1012" customWidth="1"/>
    <col min="2567" max="2800" width="8.83203125" style="1012"/>
    <col min="2801" max="2801" width="4.5" style="1012" customWidth="1"/>
    <col min="2802" max="2802" width="35" style="1012" customWidth="1"/>
    <col min="2803" max="2803" width="10" style="1012" customWidth="1"/>
    <col min="2804" max="2805" width="8.6640625" style="1012" customWidth="1"/>
    <col min="2806" max="2806" width="11.1640625" style="1012" customWidth="1"/>
    <col min="2807" max="2808" width="8.6640625" style="1012" customWidth="1"/>
    <col min="2809" max="2809" width="17.83203125" style="1012" customWidth="1"/>
    <col min="2810" max="2810" width="18.1640625" style="1012" customWidth="1"/>
    <col min="2811" max="2811" width="5.5" style="1012" customWidth="1"/>
    <col min="2812" max="2812" width="35" style="1012" customWidth="1"/>
    <col min="2813" max="2813" width="10" style="1012" customWidth="1"/>
    <col min="2814" max="2815" width="8.6640625" style="1012" customWidth="1"/>
    <col min="2816" max="2816" width="10.1640625" style="1012" customWidth="1"/>
    <col min="2817" max="2818" width="8.6640625" style="1012" customWidth="1"/>
    <col min="2819" max="2819" width="18.33203125" style="1012" customWidth="1"/>
    <col min="2820" max="2820" width="18.5" style="1012" customWidth="1"/>
    <col min="2821" max="2821" width="6.33203125" style="1012" customWidth="1"/>
    <col min="2822" max="2822" width="19.83203125" style="1012" customWidth="1"/>
    <col min="2823" max="3056" width="8.83203125" style="1012"/>
    <col min="3057" max="3057" width="4.5" style="1012" customWidth="1"/>
    <col min="3058" max="3058" width="35" style="1012" customWidth="1"/>
    <col min="3059" max="3059" width="10" style="1012" customWidth="1"/>
    <col min="3060" max="3061" width="8.6640625" style="1012" customWidth="1"/>
    <col min="3062" max="3062" width="11.1640625" style="1012" customWidth="1"/>
    <col min="3063" max="3064" width="8.6640625" style="1012" customWidth="1"/>
    <col min="3065" max="3065" width="17.83203125" style="1012" customWidth="1"/>
    <col min="3066" max="3066" width="18.1640625" style="1012" customWidth="1"/>
    <col min="3067" max="3067" width="5.5" style="1012" customWidth="1"/>
    <col min="3068" max="3068" width="35" style="1012" customWidth="1"/>
    <col min="3069" max="3069" width="10" style="1012" customWidth="1"/>
    <col min="3070" max="3071" width="8.6640625" style="1012" customWidth="1"/>
    <col min="3072" max="3072" width="10.1640625" style="1012" customWidth="1"/>
    <col min="3073" max="3074" width="8.6640625" style="1012" customWidth="1"/>
    <col min="3075" max="3075" width="18.33203125" style="1012" customWidth="1"/>
    <col min="3076" max="3076" width="18.5" style="1012" customWidth="1"/>
    <col min="3077" max="3077" width="6.33203125" style="1012" customWidth="1"/>
    <col min="3078" max="3078" width="19.83203125" style="1012" customWidth="1"/>
    <col min="3079" max="3312" width="8.83203125" style="1012"/>
    <col min="3313" max="3313" width="4.5" style="1012" customWidth="1"/>
    <col min="3314" max="3314" width="35" style="1012" customWidth="1"/>
    <col min="3315" max="3315" width="10" style="1012" customWidth="1"/>
    <col min="3316" max="3317" width="8.6640625" style="1012" customWidth="1"/>
    <col min="3318" max="3318" width="11.1640625" style="1012" customWidth="1"/>
    <col min="3319" max="3320" width="8.6640625" style="1012" customWidth="1"/>
    <col min="3321" max="3321" width="17.83203125" style="1012" customWidth="1"/>
    <col min="3322" max="3322" width="18.1640625" style="1012" customWidth="1"/>
    <col min="3323" max="3323" width="5.5" style="1012" customWidth="1"/>
    <col min="3324" max="3324" width="35" style="1012" customWidth="1"/>
    <col min="3325" max="3325" width="10" style="1012" customWidth="1"/>
    <col min="3326" max="3327" width="8.6640625" style="1012" customWidth="1"/>
    <col min="3328" max="3328" width="10.1640625" style="1012" customWidth="1"/>
    <col min="3329" max="3330" width="8.6640625" style="1012" customWidth="1"/>
    <col min="3331" max="3331" width="18.33203125" style="1012" customWidth="1"/>
    <col min="3332" max="3332" width="18.5" style="1012" customWidth="1"/>
    <col min="3333" max="3333" width="6.33203125" style="1012" customWidth="1"/>
    <col min="3334" max="3334" width="19.83203125" style="1012" customWidth="1"/>
    <col min="3335" max="3568" width="8.83203125" style="1012"/>
    <col min="3569" max="3569" width="4.5" style="1012" customWidth="1"/>
    <col min="3570" max="3570" width="35" style="1012" customWidth="1"/>
    <col min="3571" max="3571" width="10" style="1012" customWidth="1"/>
    <col min="3572" max="3573" width="8.6640625" style="1012" customWidth="1"/>
    <col min="3574" max="3574" width="11.1640625" style="1012" customWidth="1"/>
    <col min="3575" max="3576" width="8.6640625" style="1012" customWidth="1"/>
    <col min="3577" max="3577" width="17.83203125" style="1012" customWidth="1"/>
    <col min="3578" max="3578" width="18.1640625" style="1012" customWidth="1"/>
    <col min="3579" max="3579" width="5.5" style="1012" customWidth="1"/>
    <col min="3580" max="3580" width="35" style="1012" customWidth="1"/>
    <col min="3581" max="3581" width="10" style="1012" customWidth="1"/>
    <col min="3582" max="3583" width="8.6640625" style="1012" customWidth="1"/>
    <col min="3584" max="3584" width="10.1640625" style="1012" customWidth="1"/>
    <col min="3585" max="3586" width="8.6640625" style="1012" customWidth="1"/>
    <col min="3587" max="3587" width="18.33203125" style="1012" customWidth="1"/>
    <col min="3588" max="3588" width="18.5" style="1012" customWidth="1"/>
    <col min="3589" max="3589" width="6.33203125" style="1012" customWidth="1"/>
    <col min="3590" max="3590" width="19.83203125" style="1012" customWidth="1"/>
    <col min="3591" max="3824" width="8.83203125" style="1012"/>
    <col min="3825" max="3825" width="4.5" style="1012" customWidth="1"/>
    <col min="3826" max="3826" width="35" style="1012" customWidth="1"/>
    <col min="3827" max="3827" width="10" style="1012" customWidth="1"/>
    <col min="3828" max="3829" width="8.6640625" style="1012" customWidth="1"/>
    <col min="3830" max="3830" width="11.1640625" style="1012" customWidth="1"/>
    <col min="3831" max="3832" width="8.6640625" style="1012" customWidth="1"/>
    <col min="3833" max="3833" width="17.83203125" style="1012" customWidth="1"/>
    <col min="3834" max="3834" width="18.1640625" style="1012" customWidth="1"/>
    <col min="3835" max="3835" width="5.5" style="1012" customWidth="1"/>
    <col min="3836" max="3836" width="35" style="1012" customWidth="1"/>
    <col min="3837" max="3837" width="10" style="1012" customWidth="1"/>
    <col min="3838" max="3839" width="8.6640625" style="1012" customWidth="1"/>
    <col min="3840" max="3840" width="10.1640625" style="1012" customWidth="1"/>
    <col min="3841" max="3842" width="8.6640625" style="1012" customWidth="1"/>
    <col min="3843" max="3843" width="18.33203125" style="1012" customWidth="1"/>
    <col min="3844" max="3844" width="18.5" style="1012" customWidth="1"/>
    <col min="3845" max="3845" width="6.33203125" style="1012" customWidth="1"/>
    <col min="3846" max="3846" width="19.83203125" style="1012" customWidth="1"/>
    <col min="3847" max="4080" width="8.83203125" style="1012"/>
    <col min="4081" max="4081" width="4.5" style="1012" customWidth="1"/>
    <col min="4082" max="4082" width="35" style="1012" customWidth="1"/>
    <col min="4083" max="4083" width="10" style="1012" customWidth="1"/>
    <col min="4084" max="4085" width="8.6640625" style="1012" customWidth="1"/>
    <col min="4086" max="4086" width="11.1640625" style="1012" customWidth="1"/>
    <col min="4087" max="4088" width="8.6640625" style="1012" customWidth="1"/>
    <col min="4089" max="4089" width="17.83203125" style="1012" customWidth="1"/>
    <col min="4090" max="4090" width="18.1640625" style="1012" customWidth="1"/>
    <col min="4091" max="4091" width="5.5" style="1012" customWidth="1"/>
    <col min="4092" max="4092" width="35" style="1012" customWidth="1"/>
    <col min="4093" max="4093" width="10" style="1012" customWidth="1"/>
    <col min="4094" max="4095" width="8.6640625" style="1012" customWidth="1"/>
    <col min="4096" max="4096" width="10.1640625" style="1012" customWidth="1"/>
    <col min="4097" max="4098" width="8.6640625" style="1012" customWidth="1"/>
    <col min="4099" max="4099" width="18.33203125" style="1012" customWidth="1"/>
    <col min="4100" max="4100" width="18.5" style="1012" customWidth="1"/>
    <col min="4101" max="4101" width="6.33203125" style="1012" customWidth="1"/>
    <col min="4102" max="4102" width="19.83203125" style="1012" customWidth="1"/>
    <col min="4103" max="4336" width="8.83203125" style="1012"/>
    <col min="4337" max="4337" width="4.5" style="1012" customWidth="1"/>
    <col min="4338" max="4338" width="35" style="1012" customWidth="1"/>
    <col min="4339" max="4339" width="10" style="1012" customWidth="1"/>
    <col min="4340" max="4341" width="8.6640625" style="1012" customWidth="1"/>
    <col min="4342" max="4342" width="11.1640625" style="1012" customWidth="1"/>
    <col min="4343" max="4344" width="8.6640625" style="1012" customWidth="1"/>
    <col min="4345" max="4345" width="17.83203125" style="1012" customWidth="1"/>
    <col min="4346" max="4346" width="18.1640625" style="1012" customWidth="1"/>
    <col min="4347" max="4347" width="5.5" style="1012" customWidth="1"/>
    <col min="4348" max="4348" width="35" style="1012" customWidth="1"/>
    <col min="4349" max="4349" width="10" style="1012" customWidth="1"/>
    <col min="4350" max="4351" width="8.6640625" style="1012" customWidth="1"/>
    <col min="4352" max="4352" width="10.1640625" style="1012" customWidth="1"/>
    <col min="4353" max="4354" width="8.6640625" style="1012" customWidth="1"/>
    <col min="4355" max="4355" width="18.33203125" style="1012" customWidth="1"/>
    <col min="4356" max="4356" width="18.5" style="1012" customWidth="1"/>
    <col min="4357" max="4357" width="6.33203125" style="1012" customWidth="1"/>
    <col min="4358" max="4358" width="19.83203125" style="1012" customWidth="1"/>
    <col min="4359" max="4592" width="8.83203125" style="1012"/>
    <col min="4593" max="4593" width="4.5" style="1012" customWidth="1"/>
    <col min="4594" max="4594" width="35" style="1012" customWidth="1"/>
    <col min="4595" max="4595" width="10" style="1012" customWidth="1"/>
    <col min="4596" max="4597" width="8.6640625" style="1012" customWidth="1"/>
    <col min="4598" max="4598" width="11.1640625" style="1012" customWidth="1"/>
    <col min="4599" max="4600" width="8.6640625" style="1012" customWidth="1"/>
    <col min="4601" max="4601" width="17.83203125" style="1012" customWidth="1"/>
    <col min="4602" max="4602" width="18.1640625" style="1012" customWidth="1"/>
    <col min="4603" max="4603" width="5.5" style="1012" customWidth="1"/>
    <col min="4604" max="4604" width="35" style="1012" customWidth="1"/>
    <col min="4605" max="4605" width="10" style="1012" customWidth="1"/>
    <col min="4606" max="4607" width="8.6640625" style="1012" customWidth="1"/>
    <col min="4608" max="4608" width="10.1640625" style="1012" customWidth="1"/>
    <col min="4609" max="4610" width="8.6640625" style="1012" customWidth="1"/>
    <col min="4611" max="4611" width="18.33203125" style="1012" customWidth="1"/>
    <col min="4612" max="4612" width="18.5" style="1012" customWidth="1"/>
    <col min="4613" max="4613" width="6.33203125" style="1012" customWidth="1"/>
    <col min="4614" max="4614" width="19.83203125" style="1012" customWidth="1"/>
    <col min="4615" max="4848" width="8.83203125" style="1012"/>
    <col min="4849" max="4849" width="4.5" style="1012" customWidth="1"/>
    <col min="4850" max="4850" width="35" style="1012" customWidth="1"/>
    <col min="4851" max="4851" width="10" style="1012" customWidth="1"/>
    <col min="4852" max="4853" width="8.6640625" style="1012" customWidth="1"/>
    <col min="4854" max="4854" width="11.1640625" style="1012" customWidth="1"/>
    <col min="4855" max="4856" width="8.6640625" style="1012" customWidth="1"/>
    <col min="4857" max="4857" width="17.83203125" style="1012" customWidth="1"/>
    <col min="4858" max="4858" width="18.1640625" style="1012" customWidth="1"/>
    <col min="4859" max="4859" width="5.5" style="1012" customWidth="1"/>
    <col min="4860" max="4860" width="35" style="1012" customWidth="1"/>
    <col min="4861" max="4861" width="10" style="1012" customWidth="1"/>
    <col min="4862" max="4863" width="8.6640625" style="1012" customWidth="1"/>
    <col min="4864" max="4864" width="10.1640625" style="1012" customWidth="1"/>
    <col min="4865" max="4866" width="8.6640625" style="1012" customWidth="1"/>
    <col min="4867" max="4867" width="18.33203125" style="1012" customWidth="1"/>
    <col min="4868" max="4868" width="18.5" style="1012" customWidth="1"/>
    <col min="4869" max="4869" width="6.33203125" style="1012" customWidth="1"/>
    <col min="4870" max="4870" width="19.83203125" style="1012" customWidth="1"/>
    <col min="4871" max="5104" width="8.83203125" style="1012"/>
    <col min="5105" max="5105" width="4.5" style="1012" customWidth="1"/>
    <col min="5106" max="5106" width="35" style="1012" customWidth="1"/>
    <col min="5107" max="5107" width="10" style="1012" customWidth="1"/>
    <col min="5108" max="5109" width="8.6640625" style="1012" customWidth="1"/>
    <col min="5110" max="5110" width="11.1640625" style="1012" customWidth="1"/>
    <col min="5111" max="5112" width="8.6640625" style="1012" customWidth="1"/>
    <col min="5113" max="5113" width="17.83203125" style="1012" customWidth="1"/>
    <col min="5114" max="5114" width="18.1640625" style="1012" customWidth="1"/>
    <col min="5115" max="5115" width="5.5" style="1012" customWidth="1"/>
    <col min="5116" max="5116" width="35" style="1012" customWidth="1"/>
    <col min="5117" max="5117" width="10" style="1012" customWidth="1"/>
    <col min="5118" max="5119" width="8.6640625" style="1012" customWidth="1"/>
    <col min="5120" max="5120" width="10.1640625" style="1012" customWidth="1"/>
    <col min="5121" max="5122" width="8.6640625" style="1012" customWidth="1"/>
    <col min="5123" max="5123" width="18.33203125" style="1012" customWidth="1"/>
    <col min="5124" max="5124" width="18.5" style="1012" customWidth="1"/>
    <col min="5125" max="5125" width="6.33203125" style="1012" customWidth="1"/>
    <col min="5126" max="5126" width="19.83203125" style="1012" customWidth="1"/>
    <col min="5127" max="5360" width="8.83203125" style="1012"/>
    <col min="5361" max="5361" width="4.5" style="1012" customWidth="1"/>
    <col min="5362" max="5362" width="35" style="1012" customWidth="1"/>
    <col min="5363" max="5363" width="10" style="1012" customWidth="1"/>
    <col min="5364" max="5365" width="8.6640625" style="1012" customWidth="1"/>
    <col min="5366" max="5366" width="11.1640625" style="1012" customWidth="1"/>
    <col min="5367" max="5368" width="8.6640625" style="1012" customWidth="1"/>
    <col min="5369" max="5369" width="17.83203125" style="1012" customWidth="1"/>
    <col min="5370" max="5370" width="18.1640625" style="1012" customWidth="1"/>
    <col min="5371" max="5371" width="5.5" style="1012" customWidth="1"/>
    <col min="5372" max="5372" width="35" style="1012" customWidth="1"/>
    <col min="5373" max="5373" width="10" style="1012" customWidth="1"/>
    <col min="5374" max="5375" width="8.6640625" style="1012" customWidth="1"/>
    <col min="5376" max="5376" width="10.1640625" style="1012" customWidth="1"/>
    <col min="5377" max="5378" width="8.6640625" style="1012" customWidth="1"/>
    <col min="5379" max="5379" width="18.33203125" style="1012" customWidth="1"/>
    <col min="5380" max="5380" width="18.5" style="1012" customWidth="1"/>
    <col min="5381" max="5381" width="6.33203125" style="1012" customWidth="1"/>
    <col min="5382" max="5382" width="19.83203125" style="1012" customWidth="1"/>
    <col min="5383" max="5616" width="8.83203125" style="1012"/>
    <col min="5617" max="5617" width="4.5" style="1012" customWidth="1"/>
    <col min="5618" max="5618" width="35" style="1012" customWidth="1"/>
    <col min="5619" max="5619" width="10" style="1012" customWidth="1"/>
    <col min="5620" max="5621" width="8.6640625" style="1012" customWidth="1"/>
    <col min="5622" max="5622" width="11.1640625" style="1012" customWidth="1"/>
    <col min="5623" max="5624" width="8.6640625" style="1012" customWidth="1"/>
    <col min="5625" max="5625" width="17.83203125" style="1012" customWidth="1"/>
    <col min="5626" max="5626" width="18.1640625" style="1012" customWidth="1"/>
    <col min="5627" max="5627" width="5.5" style="1012" customWidth="1"/>
    <col min="5628" max="5628" width="35" style="1012" customWidth="1"/>
    <col min="5629" max="5629" width="10" style="1012" customWidth="1"/>
    <col min="5630" max="5631" width="8.6640625" style="1012" customWidth="1"/>
    <col min="5632" max="5632" width="10.1640625" style="1012" customWidth="1"/>
    <col min="5633" max="5634" width="8.6640625" style="1012" customWidth="1"/>
    <col min="5635" max="5635" width="18.33203125" style="1012" customWidth="1"/>
    <col min="5636" max="5636" width="18.5" style="1012" customWidth="1"/>
    <col min="5637" max="5637" width="6.33203125" style="1012" customWidth="1"/>
    <col min="5638" max="5638" width="19.83203125" style="1012" customWidth="1"/>
    <col min="5639" max="5872" width="8.83203125" style="1012"/>
    <col min="5873" max="5873" width="4.5" style="1012" customWidth="1"/>
    <col min="5874" max="5874" width="35" style="1012" customWidth="1"/>
    <col min="5875" max="5875" width="10" style="1012" customWidth="1"/>
    <col min="5876" max="5877" width="8.6640625" style="1012" customWidth="1"/>
    <col min="5878" max="5878" width="11.1640625" style="1012" customWidth="1"/>
    <col min="5879" max="5880" width="8.6640625" style="1012" customWidth="1"/>
    <col min="5881" max="5881" width="17.83203125" style="1012" customWidth="1"/>
    <col min="5882" max="5882" width="18.1640625" style="1012" customWidth="1"/>
    <col min="5883" max="5883" width="5.5" style="1012" customWidth="1"/>
    <col min="5884" max="5884" width="35" style="1012" customWidth="1"/>
    <col min="5885" max="5885" width="10" style="1012" customWidth="1"/>
    <col min="5886" max="5887" width="8.6640625" style="1012" customWidth="1"/>
    <col min="5888" max="5888" width="10.1640625" style="1012" customWidth="1"/>
    <col min="5889" max="5890" width="8.6640625" style="1012" customWidth="1"/>
    <col min="5891" max="5891" width="18.33203125" style="1012" customWidth="1"/>
    <col min="5892" max="5892" width="18.5" style="1012" customWidth="1"/>
    <col min="5893" max="5893" width="6.33203125" style="1012" customWidth="1"/>
    <col min="5894" max="5894" width="19.83203125" style="1012" customWidth="1"/>
    <col min="5895" max="6128" width="8.83203125" style="1012"/>
    <col min="6129" max="6129" width="4.5" style="1012" customWidth="1"/>
    <col min="6130" max="6130" width="35" style="1012" customWidth="1"/>
    <col min="6131" max="6131" width="10" style="1012" customWidth="1"/>
    <col min="6132" max="6133" width="8.6640625" style="1012" customWidth="1"/>
    <col min="6134" max="6134" width="11.1640625" style="1012" customWidth="1"/>
    <col min="6135" max="6136" width="8.6640625" style="1012" customWidth="1"/>
    <col min="6137" max="6137" width="17.83203125" style="1012" customWidth="1"/>
    <col min="6138" max="6138" width="18.1640625" style="1012" customWidth="1"/>
    <col min="6139" max="6139" width="5.5" style="1012" customWidth="1"/>
    <col min="6140" max="6140" width="35" style="1012" customWidth="1"/>
    <col min="6141" max="6141" width="10" style="1012" customWidth="1"/>
    <col min="6142" max="6143" width="8.6640625" style="1012" customWidth="1"/>
    <col min="6144" max="6144" width="10.1640625" style="1012" customWidth="1"/>
    <col min="6145" max="6146" width="8.6640625" style="1012" customWidth="1"/>
    <col min="6147" max="6147" width="18.33203125" style="1012" customWidth="1"/>
    <col min="6148" max="6148" width="18.5" style="1012" customWidth="1"/>
    <col min="6149" max="6149" width="6.33203125" style="1012" customWidth="1"/>
    <col min="6150" max="6150" width="19.83203125" style="1012" customWidth="1"/>
    <col min="6151" max="6384" width="8.83203125" style="1012"/>
    <col min="6385" max="6385" width="4.5" style="1012" customWidth="1"/>
    <col min="6386" max="6386" width="35" style="1012" customWidth="1"/>
    <col min="6387" max="6387" width="10" style="1012" customWidth="1"/>
    <col min="6388" max="6389" width="8.6640625" style="1012" customWidth="1"/>
    <col min="6390" max="6390" width="11.1640625" style="1012" customWidth="1"/>
    <col min="6391" max="6392" width="8.6640625" style="1012" customWidth="1"/>
    <col min="6393" max="6393" width="17.83203125" style="1012" customWidth="1"/>
    <col min="6394" max="6394" width="18.1640625" style="1012" customWidth="1"/>
    <col min="6395" max="6395" width="5.5" style="1012" customWidth="1"/>
    <col min="6396" max="6396" width="35" style="1012" customWidth="1"/>
    <col min="6397" max="6397" width="10" style="1012" customWidth="1"/>
    <col min="6398" max="6399" width="8.6640625" style="1012" customWidth="1"/>
    <col min="6400" max="6400" width="10.1640625" style="1012" customWidth="1"/>
    <col min="6401" max="6402" width="8.6640625" style="1012" customWidth="1"/>
    <col min="6403" max="6403" width="18.33203125" style="1012" customWidth="1"/>
    <col min="6404" max="6404" width="18.5" style="1012" customWidth="1"/>
    <col min="6405" max="6405" width="6.33203125" style="1012" customWidth="1"/>
    <col min="6406" max="6406" width="19.83203125" style="1012" customWidth="1"/>
    <col min="6407" max="6640" width="8.83203125" style="1012"/>
    <col min="6641" max="6641" width="4.5" style="1012" customWidth="1"/>
    <col min="6642" max="6642" width="35" style="1012" customWidth="1"/>
    <col min="6643" max="6643" width="10" style="1012" customWidth="1"/>
    <col min="6644" max="6645" width="8.6640625" style="1012" customWidth="1"/>
    <col min="6646" max="6646" width="11.1640625" style="1012" customWidth="1"/>
    <col min="6647" max="6648" width="8.6640625" style="1012" customWidth="1"/>
    <col min="6649" max="6649" width="17.83203125" style="1012" customWidth="1"/>
    <col min="6650" max="6650" width="18.1640625" style="1012" customWidth="1"/>
    <col min="6651" max="6651" width="5.5" style="1012" customWidth="1"/>
    <col min="6652" max="6652" width="35" style="1012" customWidth="1"/>
    <col min="6653" max="6653" width="10" style="1012" customWidth="1"/>
    <col min="6654" max="6655" width="8.6640625" style="1012" customWidth="1"/>
    <col min="6656" max="6656" width="10.1640625" style="1012" customWidth="1"/>
    <col min="6657" max="6658" width="8.6640625" style="1012" customWidth="1"/>
    <col min="6659" max="6659" width="18.33203125" style="1012" customWidth="1"/>
    <col min="6660" max="6660" width="18.5" style="1012" customWidth="1"/>
    <col min="6661" max="6661" width="6.33203125" style="1012" customWidth="1"/>
    <col min="6662" max="6662" width="19.83203125" style="1012" customWidth="1"/>
    <col min="6663" max="6896" width="8.83203125" style="1012"/>
    <col min="6897" max="6897" width="4.5" style="1012" customWidth="1"/>
    <col min="6898" max="6898" width="35" style="1012" customWidth="1"/>
    <col min="6899" max="6899" width="10" style="1012" customWidth="1"/>
    <col min="6900" max="6901" width="8.6640625" style="1012" customWidth="1"/>
    <col min="6902" max="6902" width="11.1640625" style="1012" customWidth="1"/>
    <col min="6903" max="6904" width="8.6640625" style="1012" customWidth="1"/>
    <col min="6905" max="6905" width="17.83203125" style="1012" customWidth="1"/>
    <col min="6906" max="6906" width="18.1640625" style="1012" customWidth="1"/>
    <col min="6907" max="6907" width="5.5" style="1012" customWidth="1"/>
    <col min="6908" max="6908" width="35" style="1012" customWidth="1"/>
    <col min="6909" max="6909" width="10" style="1012" customWidth="1"/>
    <col min="6910" max="6911" width="8.6640625" style="1012" customWidth="1"/>
    <col min="6912" max="6912" width="10.1640625" style="1012" customWidth="1"/>
    <col min="6913" max="6914" width="8.6640625" style="1012" customWidth="1"/>
    <col min="6915" max="6915" width="18.33203125" style="1012" customWidth="1"/>
    <col min="6916" max="6916" width="18.5" style="1012" customWidth="1"/>
    <col min="6917" max="6917" width="6.33203125" style="1012" customWidth="1"/>
    <col min="6918" max="6918" width="19.83203125" style="1012" customWidth="1"/>
    <col min="6919" max="7152" width="8.83203125" style="1012"/>
    <col min="7153" max="7153" width="4.5" style="1012" customWidth="1"/>
    <col min="7154" max="7154" width="35" style="1012" customWidth="1"/>
    <col min="7155" max="7155" width="10" style="1012" customWidth="1"/>
    <col min="7156" max="7157" width="8.6640625" style="1012" customWidth="1"/>
    <col min="7158" max="7158" width="11.1640625" style="1012" customWidth="1"/>
    <col min="7159" max="7160" width="8.6640625" style="1012" customWidth="1"/>
    <col min="7161" max="7161" width="17.83203125" style="1012" customWidth="1"/>
    <col min="7162" max="7162" width="18.1640625" style="1012" customWidth="1"/>
    <col min="7163" max="7163" width="5.5" style="1012" customWidth="1"/>
    <col min="7164" max="7164" width="35" style="1012" customWidth="1"/>
    <col min="7165" max="7165" width="10" style="1012" customWidth="1"/>
    <col min="7166" max="7167" width="8.6640625" style="1012" customWidth="1"/>
    <col min="7168" max="7168" width="10.1640625" style="1012" customWidth="1"/>
    <col min="7169" max="7170" width="8.6640625" style="1012" customWidth="1"/>
    <col min="7171" max="7171" width="18.33203125" style="1012" customWidth="1"/>
    <col min="7172" max="7172" width="18.5" style="1012" customWidth="1"/>
    <col min="7173" max="7173" width="6.33203125" style="1012" customWidth="1"/>
    <col min="7174" max="7174" width="19.83203125" style="1012" customWidth="1"/>
    <col min="7175" max="7408" width="8.83203125" style="1012"/>
    <col min="7409" max="7409" width="4.5" style="1012" customWidth="1"/>
    <col min="7410" max="7410" width="35" style="1012" customWidth="1"/>
    <col min="7411" max="7411" width="10" style="1012" customWidth="1"/>
    <col min="7412" max="7413" width="8.6640625" style="1012" customWidth="1"/>
    <col min="7414" max="7414" width="11.1640625" style="1012" customWidth="1"/>
    <col min="7415" max="7416" width="8.6640625" style="1012" customWidth="1"/>
    <col min="7417" max="7417" width="17.83203125" style="1012" customWidth="1"/>
    <col min="7418" max="7418" width="18.1640625" style="1012" customWidth="1"/>
    <col min="7419" max="7419" width="5.5" style="1012" customWidth="1"/>
    <col min="7420" max="7420" width="35" style="1012" customWidth="1"/>
    <col min="7421" max="7421" width="10" style="1012" customWidth="1"/>
    <col min="7422" max="7423" width="8.6640625" style="1012" customWidth="1"/>
    <col min="7424" max="7424" width="10.1640625" style="1012" customWidth="1"/>
    <col min="7425" max="7426" width="8.6640625" style="1012" customWidth="1"/>
    <col min="7427" max="7427" width="18.33203125" style="1012" customWidth="1"/>
    <col min="7428" max="7428" width="18.5" style="1012" customWidth="1"/>
    <col min="7429" max="7429" width="6.33203125" style="1012" customWidth="1"/>
    <col min="7430" max="7430" width="19.83203125" style="1012" customWidth="1"/>
    <col min="7431" max="7664" width="8.83203125" style="1012"/>
    <col min="7665" max="7665" width="4.5" style="1012" customWidth="1"/>
    <col min="7666" max="7666" width="35" style="1012" customWidth="1"/>
    <col min="7667" max="7667" width="10" style="1012" customWidth="1"/>
    <col min="7668" max="7669" width="8.6640625" style="1012" customWidth="1"/>
    <col min="7670" max="7670" width="11.1640625" style="1012" customWidth="1"/>
    <col min="7671" max="7672" width="8.6640625" style="1012" customWidth="1"/>
    <col min="7673" max="7673" width="17.83203125" style="1012" customWidth="1"/>
    <col min="7674" max="7674" width="18.1640625" style="1012" customWidth="1"/>
    <col min="7675" max="7675" width="5.5" style="1012" customWidth="1"/>
    <col min="7676" max="7676" width="35" style="1012" customWidth="1"/>
    <col min="7677" max="7677" width="10" style="1012" customWidth="1"/>
    <col min="7678" max="7679" width="8.6640625" style="1012" customWidth="1"/>
    <col min="7680" max="7680" width="10.1640625" style="1012" customWidth="1"/>
    <col min="7681" max="7682" width="8.6640625" style="1012" customWidth="1"/>
    <col min="7683" max="7683" width="18.33203125" style="1012" customWidth="1"/>
    <col min="7684" max="7684" width="18.5" style="1012" customWidth="1"/>
    <col min="7685" max="7685" width="6.33203125" style="1012" customWidth="1"/>
    <col min="7686" max="7686" width="19.83203125" style="1012" customWidth="1"/>
    <col min="7687" max="7920" width="8.83203125" style="1012"/>
    <col min="7921" max="7921" width="4.5" style="1012" customWidth="1"/>
    <col min="7922" max="7922" width="35" style="1012" customWidth="1"/>
    <col min="7923" max="7923" width="10" style="1012" customWidth="1"/>
    <col min="7924" max="7925" width="8.6640625" style="1012" customWidth="1"/>
    <col min="7926" max="7926" width="11.1640625" style="1012" customWidth="1"/>
    <col min="7927" max="7928" width="8.6640625" style="1012" customWidth="1"/>
    <col min="7929" max="7929" width="17.83203125" style="1012" customWidth="1"/>
    <col min="7930" max="7930" width="18.1640625" style="1012" customWidth="1"/>
    <col min="7931" max="7931" width="5.5" style="1012" customWidth="1"/>
    <col min="7932" max="7932" width="35" style="1012" customWidth="1"/>
    <col min="7933" max="7933" width="10" style="1012" customWidth="1"/>
    <col min="7934" max="7935" width="8.6640625" style="1012" customWidth="1"/>
    <col min="7936" max="7936" width="10.1640625" style="1012" customWidth="1"/>
    <col min="7937" max="7938" width="8.6640625" style="1012" customWidth="1"/>
    <col min="7939" max="7939" width="18.33203125" style="1012" customWidth="1"/>
    <col min="7940" max="7940" width="18.5" style="1012" customWidth="1"/>
    <col min="7941" max="7941" width="6.33203125" style="1012" customWidth="1"/>
    <col min="7942" max="7942" width="19.83203125" style="1012" customWidth="1"/>
    <col min="7943" max="8176" width="8.83203125" style="1012"/>
    <col min="8177" max="8177" width="4.5" style="1012" customWidth="1"/>
    <col min="8178" max="8178" width="35" style="1012" customWidth="1"/>
    <col min="8179" max="8179" width="10" style="1012" customWidth="1"/>
    <col min="8180" max="8181" width="8.6640625" style="1012" customWidth="1"/>
    <col min="8182" max="8182" width="11.1640625" style="1012" customWidth="1"/>
    <col min="8183" max="8184" width="8.6640625" style="1012" customWidth="1"/>
    <col min="8185" max="8185" width="17.83203125" style="1012" customWidth="1"/>
    <col min="8186" max="8186" width="18.1640625" style="1012" customWidth="1"/>
    <col min="8187" max="8187" width="5.5" style="1012" customWidth="1"/>
    <col min="8188" max="8188" width="35" style="1012" customWidth="1"/>
    <col min="8189" max="8189" width="10" style="1012" customWidth="1"/>
    <col min="8190" max="8191" width="8.6640625" style="1012" customWidth="1"/>
    <col min="8192" max="8192" width="10.1640625" style="1012" customWidth="1"/>
    <col min="8193" max="8194" width="8.6640625" style="1012" customWidth="1"/>
    <col min="8195" max="8195" width="18.33203125" style="1012" customWidth="1"/>
    <col min="8196" max="8196" width="18.5" style="1012" customWidth="1"/>
    <col min="8197" max="8197" width="6.33203125" style="1012" customWidth="1"/>
    <col min="8198" max="8198" width="19.83203125" style="1012" customWidth="1"/>
    <col min="8199" max="8432" width="8.83203125" style="1012"/>
    <col min="8433" max="8433" width="4.5" style="1012" customWidth="1"/>
    <col min="8434" max="8434" width="35" style="1012" customWidth="1"/>
    <col min="8435" max="8435" width="10" style="1012" customWidth="1"/>
    <col min="8436" max="8437" width="8.6640625" style="1012" customWidth="1"/>
    <col min="8438" max="8438" width="11.1640625" style="1012" customWidth="1"/>
    <col min="8439" max="8440" width="8.6640625" style="1012" customWidth="1"/>
    <col min="8441" max="8441" width="17.83203125" style="1012" customWidth="1"/>
    <col min="8442" max="8442" width="18.1640625" style="1012" customWidth="1"/>
    <col min="8443" max="8443" width="5.5" style="1012" customWidth="1"/>
    <col min="8444" max="8444" width="35" style="1012" customWidth="1"/>
    <col min="8445" max="8445" width="10" style="1012" customWidth="1"/>
    <col min="8446" max="8447" width="8.6640625" style="1012" customWidth="1"/>
    <col min="8448" max="8448" width="10.1640625" style="1012" customWidth="1"/>
    <col min="8449" max="8450" width="8.6640625" style="1012" customWidth="1"/>
    <col min="8451" max="8451" width="18.33203125" style="1012" customWidth="1"/>
    <col min="8452" max="8452" width="18.5" style="1012" customWidth="1"/>
    <col min="8453" max="8453" width="6.33203125" style="1012" customWidth="1"/>
    <col min="8454" max="8454" width="19.83203125" style="1012" customWidth="1"/>
    <col min="8455" max="8688" width="8.83203125" style="1012"/>
    <col min="8689" max="8689" width="4.5" style="1012" customWidth="1"/>
    <col min="8690" max="8690" width="35" style="1012" customWidth="1"/>
    <col min="8691" max="8691" width="10" style="1012" customWidth="1"/>
    <col min="8692" max="8693" width="8.6640625" style="1012" customWidth="1"/>
    <col min="8694" max="8694" width="11.1640625" style="1012" customWidth="1"/>
    <col min="8695" max="8696" width="8.6640625" style="1012" customWidth="1"/>
    <col min="8697" max="8697" width="17.83203125" style="1012" customWidth="1"/>
    <col min="8698" max="8698" width="18.1640625" style="1012" customWidth="1"/>
    <col min="8699" max="8699" width="5.5" style="1012" customWidth="1"/>
    <col min="8700" max="8700" width="35" style="1012" customWidth="1"/>
    <col min="8701" max="8701" width="10" style="1012" customWidth="1"/>
    <col min="8702" max="8703" width="8.6640625" style="1012" customWidth="1"/>
    <col min="8704" max="8704" width="10.1640625" style="1012" customWidth="1"/>
    <col min="8705" max="8706" width="8.6640625" style="1012" customWidth="1"/>
    <col min="8707" max="8707" width="18.33203125" style="1012" customWidth="1"/>
    <col min="8708" max="8708" width="18.5" style="1012" customWidth="1"/>
    <col min="8709" max="8709" width="6.33203125" style="1012" customWidth="1"/>
    <col min="8710" max="8710" width="19.83203125" style="1012" customWidth="1"/>
    <col min="8711" max="8944" width="8.83203125" style="1012"/>
    <col min="8945" max="8945" width="4.5" style="1012" customWidth="1"/>
    <col min="8946" max="8946" width="35" style="1012" customWidth="1"/>
    <col min="8947" max="8947" width="10" style="1012" customWidth="1"/>
    <col min="8948" max="8949" width="8.6640625" style="1012" customWidth="1"/>
    <col min="8950" max="8950" width="11.1640625" style="1012" customWidth="1"/>
    <col min="8951" max="8952" width="8.6640625" style="1012" customWidth="1"/>
    <col min="8953" max="8953" width="17.83203125" style="1012" customWidth="1"/>
    <col min="8954" max="8954" width="18.1640625" style="1012" customWidth="1"/>
    <col min="8955" max="8955" width="5.5" style="1012" customWidth="1"/>
    <col min="8956" max="8956" width="35" style="1012" customWidth="1"/>
    <col min="8957" max="8957" width="10" style="1012" customWidth="1"/>
    <col min="8958" max="8959" width="8.6640625" style="1012" customWidth="1"/>
    <col min="8960" max="8960" width="10.1640625" style="1012" customWidth="1"/>
    <col min="8961" max="8962" width="8.6640625" style="1012" customWidth="1"/>
    <col min="8963" max="8963" width="18.33203125" style="1012" customWidth="1"/>
    <col min="8964" max="8964" width="18.5" style="1012" customWidth="1"/>
    <col min="8965" max="8965" width="6.33203125" style="1012" customWidth="1"/>
    <col min="8966" max="8966" width="19.83203125" style="1012" customWidth="1"/>
    <col min="8967" max="9200" width="8.83203125" style="1012"/>
    <col min="9201" max="9201" width="4.5" style="1012" customWidth="1"/>
    <col min="9202" max="9202" width="35" style="1012" customWidth="1"/>
    <col min="9203" max="9203" width="10" style="1012" customWidth="1"/>
    <col min="9204" max="9205" width="8.6640625" style="1012" customWidth="1"/>
    <col min="9206" max="9206" width="11.1640625" style="1012" customWidth="1"/>
    <col min="9207" max="9208" width="8.6640625" style="1012" customWidth="1"/>
    <col min="9209" max="9209" width="17.83203125" style="1012" customWidth="1"/>
    <col min="9210" max="9210" width="18.1640625" style="1012" customWidth="1"/>
    <col min="9211" max="9211" width="5.5" style="1012" customWidth="1"/>
    <col min="9212" max="9212" width="35" style="1012" customWidth="1"/>
    <col min="9213" max="9213" width="10" style="1012" customWidth="1"/>
    <col min="9214" max="9215" width="8.6640625" style="1012" customWidth="1"/>
    <col min="9216" max="9216" width="10.1640625" style="1012" customWidth="1"/>
    <col min="9217" max="9218" width="8.6640625" style="1012" customWidth="1"/>
    <col min="9219" max="9219" width="18.33203125" style="1012" customWidth="1"/>
    <col min="9220" max="9220" width="18.5" style="1012" customWidth="1"/>
    <col min="9221" max="9221" width="6.33203125" style="1012" customWidth="1"/>
    <col min="9222" max="9222" width="19.83203125" style="1012" customWidth="1"/>
    <col min="9223" max="9456" width="8.83203125" style="1012"/>
    <col min="9457" max="9457" width="4.5" style="1012" customWidth="1"/>
    <col min="9458" max="9458" width="35" style="1012" customWidth="1"/>
    <col min="9459" max="9459" width="10" style="1012" customWidth="1"/>
    <col min="9460" max="9461" width="8.6640625" style="1012" customWidth="1"/>
    <col min="9462" max="9462" width="11.1640625" style="1012" customWidth="1"/>
    <col min="9463" max="9464" width="8.6640625" style="1012" customWidth="1"/>
    <col min="9465" max="9465" width="17.83203125" style="1012" customWidth="1"/>
    <col min="9466" max="9466" width="18.1640625" style="1012" customWidth="1"/>
    <col min="9467" max="9467" width="5.5" style="1012" customWidth="1"/>
    <col min="9468" max="9468" width="35" style="1012" customWidth="1"/>
    <col min="9469" max="9469" width="10" style="1012" customWidth="1"/>
    <col min="9470" max="9471" width="8.6640625" style="1012" customWidth="1"/>
    <col min="9472" max="9472" width="10.1640625" style="1012" customWidth="1"/>
    <col min="9473" max="9474" width="8.6640625" style="1012" customWidth="1"/>
    <col min="9475" max="9475" width="18.33203125" style="1012" customWidth="1"/>
    <col min="9476" max="9476" width="18.5" style="1012" customWidth="1"/>
    <col min="9477" max="9477" width="6.33203125" style="1012" customWidth="1"/>
    <col min="9478" max="9478" width="19.83203125" style="1012" customWidth="1"/>
    <col min="9479" max="9712" width="8.83203125" style="1012"/>
    <col min="9713" max="9713" width="4.5" style="1012" customWidth="1"/>
    <col min="9714" max="9714" width="35" style="1012" customWidth="1"/>
    <col min="9715" max="9715" width="10" style="1012" customWidth="1"/>
    <col min="9716" max="9717" width="8.6640625" style="1012" customWidth="1"/>
    <col min="9718" max="9718" width="11.1640625" style="1012" customWidth="1"/>
    <col min="9719" max="9720" width="8.6640625" style="1012" customWidth="1"/>
    <col min="9721" max="9721" width="17.83203125" style="1012" customWidth="1"/>
    <col min="9722" max="9722" width="18.1640625" style="1012" customWidth="1"/>
    <col min="9723" max="9723" width="5.5" style="1012" customWidth="1"/>
    <col min="9724" max="9724" width="35" style="1012" customWidth="1"/>
    <col min="9725" max="9725" width="10" style="1012" customWidth="1"/>
    <col min="9726" max="9727" width="8.6640625" style="1012" customWidth="1"/>
    <col min="9728" max="9728" width="10.1640625" style="1012" customWidth="1"/>
    <col min="9729" max="9730" width="8.6640625" style="1012" customWidth="1"/>
    <col min="9731" max="9731" width="18.33203125" style="1012" customWidth="1"/>
    <col min="9732" max="9732" width="18.5" style="1012" customWidth="1"/>
    <col min="9733" max="9733" width="6.33203125" style="1012" customWidth="1"/>
    <col min="9734" max="9734" width="19.83203125" style="1012" customWidth="1"/>
    <col min="9735" max="9968" width="8.83203125" style="1012"/>
    <col min="9969" max="9969" width="4.5" style="1012" customWidth="1"/>
    <col min="9970" max="9970" width="35" style="1012" customWidth="1"/>
    <col min="9971" max="9971" width="10" style="1012" customWidth="1"/>
    <col min="9972" max="9973" width="8.6640625" style="1012" customWidth="1"/>
    <col min="9974" max="9974" width="11.1640625" style="1012" customWidth="1"/>
    <col min="9975" max="9976" width="8.6640625" style="1012" customWidth="1"/>
    <col min="9977" max="9977" width="17.83203125" style="1012" customWidth="1"/>
    <col min="9978" max="9978" width="18.1640625" style="1012" customWidth="1"/>
    <col min="9979" max="9979" width="5.5" style="1012" customWidth="1"/>
    <col min="9980" max="9980" width="35" style="1012" customWidth="1"/>
    <col min="9981" max="9981" width="10" style="1012" customWidth="1"/>
    <col min="9982" max="9983" width="8.6640625" style="1012" customWidth="1"/>
    <col min="9984" max="9984" width="10.1640625" style="1012" customWidth="1"/>
    <col min="9985" max="9986" width="8.6640625" style="1012" customWidth="1"/>
    <col min="9987" max="9987" width="18.33203125" style="1012" customWidth="1"/>
    <col min="9988" max="9988" width="18.5" style="1012" customWidth="1"/>
    <col min="9989" max="9989" width="6.33203125" style="1012" customWidth="1"/>
    <col min="9990" max="9990" width="19.83203125" style="1012" customWidth="1"/>
    <col min="9991" max="10224" width="8.83203125" style="1012"/>
    <col min="10225" max="10225" width="4.5" style="1012" customWidth="1"/>
    <col min="10226" max="10226" width="35" style="1012" customWidth="1"/>
    <col min="10227" max="10227" width="10" style="1012" customWidth="1"/>
    <col min="10228" max="10229" width="8.6640625" style="1012" customWidth="1"/>
    <col min="10230" max="10230" width="11.1640625" style="1012" customWidth="1"/>
    <col min="10231" max="10232" width="8.6640625" style="1012" customWidth="1"/>
    <col min="10233" max="10233" width="17.83203125" style="1012" customWidth="1"/>
    <col min="10234" max="10234" width="18.1640625" style="1012" customWidth="1"/>
    <col min="10235" max="10235" width="5.5" style="1012" customWidth="1"/>
    <col min="10236" max="10236" width="35" style="1012" customWidth="1"/>
    <col min="10237" max="10237" width="10" style="1012" customWidth="1"/>
    <col min="10238" max="10239" width="8.6640625" style="1012" customWidth="1"/>
    <col min="10240" max="10240" width="10.1640625" style="1012" customWidth="1"/>
    <col min="10241" max="10242" width="8.6640625" style="1012" customWidth="1"/>
    <col min="10243" max="10243" width="18.33203125" style="1012" customWidth="1"/>
    <col min="10244" max="10244" width="18.5" style="1012" customWidth="1"/>
    <col min="10245" max="10245" width="6.33203125" style="1012" customWidth="1"/>
    <col min="10246" max="10246" width="19.83203125" style="1012" customWidth="1"/>
    <col min="10247" max="10480" width="8.83203125" style="1012"/>
    <col min="10481" max="10481" width="4.5" style="1012" customWidth="1"/>
    <col min="10482" max="10482" width="35" style="1012" customWidth="1"/>
    <col min="10483" max="10483" width="10" style="1012" customWidth="1"/>
    <col min="10484" max="10485" width="8.6640625" style="1012" customWidth="1"/>
    <col min="10486" max="10486" width="11.1640625" style="1012" customWidth="1"/>
    <col min="10487" max="10488" width="8.6640625" style="1012" customWidth="1"/>
    <col min="10489" max="10489" width="17.83203125" style="1012" customWidth="1"/>
    <col min="10490" max="10490" width="18.1640625" style="1012" customWidth="1"/>
    <col min="10491" max="10491" width="5.5" style="1012" customWidth="1"/>
    <col min="10492" max="10492" width="35" style="1012" customWidth="1"/>
    <col min="10493" max="10493" width="10" style="1012" customWidth="1"/>
    <col min="10494" max="10495" width="8.6640625" style="1012" customWidth="1"/>
    <col min="10496" max="10496" width="10.1640625" style="1012" customWidth="1"/>
    <col min="10497" max="10498" width="8.6640625" style="1012" customWidth="1"/>
    <col min="10499" max="10499" width="18.33203125" style="1012" customWidth="1"/>
    <col min="10500" max="10500" width="18.5" style="1012" customWidth="1"/>
    <col min="10501" max="10501" width="6.33203125" style="1012" customWidth="1"/>
    <col min="10502" max="10502" width="19.83203125" style="1012" customWidth="1"/>
    <col min="10503" max="10736" width="8.83203125" style="1012"/>
    <col min="10737" max="10737" width="4.5" style="1012" customWidth="1"/>
    <col min="10738" max="10738" width="35" style="1012" customWidth="1"/>
    <col min="10739" max="10739" width="10" style="1012" customWidth="1"/>
    <col min="10740" max="10741" width="8.6640625" style="1012" customWidth="1"/>
    <col min="10742" max="10742" width="11.1640625" style="1012" customWidth="1"/>
    <col min="10743" max="10744" width="8.6640625" style="1012" customWidth="1"/>
    <col min="10745" max="10745" width="17.83203125" style="1012" customWidth="1"/>
    <col min="10746" max="10746" width="18.1640625" style="1012" customWidth="1"/>
    <col min="10747" max="10747" width="5.5" style="1012" customWidth="1"/>
    <col min="10748" max="10748" width="35" style="1012" customWidth="1"/>
    <col min="10749" max="10749" width="10" style="1012" customWidth="1"/>
    <col min="10750" max="10751" width="8.6640625" style="1012" customWidth="1"/>
    <col min="10752" max="10752" width="10.1640625" style="1012" customWidth="1"/>
    <col min="10753" max="10754" width="8.6640625" style="1012" customWidth="1"/>
    <col min="10755" max="10755" width="18.33203125" style="1012" customWidth="1"/>
    <col min="10756" max="10756" width="18.5" style="1012" customWidth="1"/>
    <col min="10757" max="10757" width="6.33203125" style="1012" customWidth="1"/>
    <col min="10758" max="10758" width="19.83203125" style="1012" customWidth="1"/>
    <col min="10759" max="10992" width="8.83203125" style="1012"/>
    <col min="10993" max="10993" width="4.5" style="1012" customWidth="1"/>
    <col min="10994" max="10994" width="35" style="1012" customWidth="1"/>
    <col min="10995" max="10995" width="10" style="1012" customWidth="1"/>
    <col min="10996" max="10997" width="8.6640625" style="1012" customWidth="1"/>
    <col min="10998" max="10998" width="11.1640625" style="1012" customWidth="1"/>
    <col min="10999" max="11000" width="8.6640625" style="1012" customWidth="1"/>
    <col min="11001" max="11001" width="17.83203125" style="1012" customWidth="1"/>
    <col min="11002" max="11002" width="18.1640625" style="1012" customWidth="1"/>
    <col min="11003" max="11003" width="5.5" style="1012" customWidth="1"/>
    <col min="11004" max="11004" width="35" style="1012" customWidth="1"/>
    <col min="11005" max="11005" width="10" style="1012" customWidth="1"/>
    <col min="11006" max="11007" width="8.6640625" style="1012" customWidth="1"/>
    <col min="11008" max="11008" width="10.1640625" style="1012" customWidth="1"/>
    <col min="11009" max="11010" width="8.6640625" style="1012" customWidth="1"/>
    <col min="11011" max="11011" width="18.33203125" style="1012" customWidth="1"/>
    <col min="11012" max="11012" width="18.5" style="1012" customWidth="1"/>
    <col min="11013" max="11013" width="6.33203125" style="1012" customWidth="1"/>
    <col min="11014" max="11014" width="19.83203125" style="1012" customWidth="1"/>
    <col min="11015" max="11248" width="8.83203125" style="1012"/>
    <col min="11249" max="11249" width="4.5" style="1012" customWidth="1"/>
    <col min="11250" max="11250" width="35" style="1012" customWidth="1"/>
    <col min="11251" max="11251" width="10" style="1012" customWidth="1"/>
    <col min="11252" max="11253" width="8.6640625" style="1012" customWidth="1"/>
    <col min="11254" max="11254" width="11.1640625" style="1012" customWidth="1"/>
    <col min="11255" max="11256" width="8.6640625" style="1012" customWidth="1"/>
    <col min="11257" max="11257" width="17.83203125" style="1012" customWidth="1"/>
    <col min="11258" max="11258" width="18.1640625" style="1012" customWidth="1"/>
    <col min="11259" max="11259" width="5.5" style="1012" customWidth="1"/>
    <col min="11260" max="11260" width="35" style="1012" customWidth="1"/>
    <col min="11261" max="11261" width="10" style="1012" customWidth="1"/>
    <col min="11262" max="11263" width="8.6640625" style="1012" customWidth="1"/>
    <col min="11264" max="11264" width="10.1640625" style="1012" customWidth="1"/>
    <col min="11265" max="11266" width="8.6640625" style="1012" customWidth="1"/>
    <col min="11267" max="11267" width="18.33203125" style="1012" customWidth="1"/>
    <col min="11268" max="11268" width="18.5" style="1012" customWidth="1"/>
    <col min="11269" max="11269" width="6.33203125" style="1012" customWidth="1"/>
    <col min="11270" max="11270" width="19.83203125" style="1012" customWidth="1"/>
    <col min="11271" max="11504" width="8.83203125" style="1012"/>
    <col min="11505" max="11505" width="4.5" style="1012" customWidth="1"/>
    <col min="11506" max="11506" width="35" style="1012" customWidth="1"/>
    <col min="11507" max="11507" width="10" style="1012" customWidth="1"/>
    <col min="11508" max="11509" width="8.6640625" style="1012" customWidth="1"/>
    <col min="11510" max="11510" width="11.1640625" style="1012" customWidth="1"/>
    <col min="11511" max="11512" width="8.6640625" style="1012" customWidth="1"/>
    <col min="11513" max="11513" width="17.83203125" style="1012" customWidth="1"/>
    <col min="11514" max="11514" width="18.1640625" style="1012" customWidth="1"/>
    <col min="11515" max="11515" width="5.5" style="1012" customWidth="1"/>
    <col min="11516" max="11516" width="35" style="1012" customWidth="1"/>
    <col min="11517" max="11517" width="10" style="1012" customWidth="1"/>
    <col min="11518" max="11519" width="8.6640625" style="1012" customWidth="1"/>
    <col min="11520" max="11520" width="10.1640625" style="1012" customWidth="1"/>
    <col min="11521" max="11522" width="8.6640625" style="1012" customWidth="1"/>
    <col min="11523" max="11523" width="18.33203125" style="1012" customWidth="1"/>
    <col min="11524" max="11524" width="18.5" style="1012" customWidth="1"/>
    <col min="11525" max="11525" width="6.33203125" style="1012" customWidth="1"/>
    <col min="11526" max="11526" width="19.83203125" style="1012" customWidth="1"/>
    <col min="11527" max="11760" width="8.83203125" style="1012"/>
    <col min="11761" max="11761" width="4.5" style="1012" customWidth="1"/>
    <col min="11762" max="11762" width="35" style="1012" customWidth="1"/>
    <col min="11763" max="11763" width="10" style="1012" customWidth="1"/>
    <col min="11764" max="11765" width="8.6640625" style="1012" customWidth="1"/>
    <col min="11766" max="11766" width="11.1640625" style="1012" customWidth="1"/>
    <col min="11767" max="11768" width="8.6640625" style="1012" customWidth="1"/>
    <col min="11769" max="11769" width="17.83203125" style="1012" customWidth="1"/>
    <col min="11770" max="11770" width="18.1640625" style="1012" customWidth="1"/>
    <col min="11771" max="11771" width="5.5" style="1012" customWidth="1"/>
    <col min="11772" max="11772" width="35" style="1012" customWidth="1"/>
    <col min="11773" max="11773" width="10" style="1012" customWidth="1"/>
    <col min="11774" max="11775" width="8.6640625" style="1012" customWidth="1"/>
    <col min="11776" max="11776" width="10.1640625" style="1012" customWidth="1"/>
    <col min="11777" max="11778" width="8.6640625" style="1012" customWidth="1"/>
    <col min="11779" max="11779" width="18.33203125" style="1012" customWidth="1"/>
    <col min="11780" max="11780" width="18.5" style="1012" customWidth="1"/>
    <col min="11781" max="11781" width="6.33203125" style="1012" customWidth="1"/>
    <col min="11782" max="11782" width="19.83203125" style="1012" customWidth="1"/>
    <col min="11783" max="12016" width="8.83203125" style="1012"/>
    <col min="12017" max="12017" width="4.5" style="1012" customWidth="1"/>
    <col min="12018" max="12018" width="35" style="1012" customWidth="1"/>
    <col min="12019" max="12019" width="10" style="1012" customWidth="1"/>
    <col min="12020" max="12021" width="8.6640625" style="1012" customWidth="1"/>
    <col min="12022" max="12022" width="11.1640625" style="1012" customWidth="1"/>
    <col min="12023" max="12024" width="8.6640625" style="1012" customWidth="1"/>
    <col min="12025" max="12025" width="17.83203125" style="1012" customWidth="1"/>
    <col min="12026" max="12026" width="18.1640625" style="1012" customWidth="1"/>
    <col min="12027" max="12027" width="5.5" style="1012" customWidth="1"/>
    <col min="12028" max="12028" width="35" style="1012" customWidth="1"/>
    <col min="12029" max="12029" width="10" style="1012" customWidth="1"/>
    <col min="12030" max="12031" width="8.6640625" style="1012" customWidth="1"/>
    <col min="12032" max="12032" width="10.1640625" style="1012" customWidth="1"/>
    <col min="12033" max="12034" width="8.6640625" style="1012" customWidth="1"/>
    <col min="12035" max="12035" width="18.33203125" style="1012" customWidth="1"/>
    <col min="12036" max="12036" width="18.5" style="1012" customWidth="1"/>
    <col min="12037" max="12037" width="6.33203125" style="1012" customWidth="1"/>
    <col min="12038" max="12038" width="19.83203125" style="1012" customWidth="1"/>
    <col min="12039" max="12272" width="8.83203125" style="1012"/>
    <col min="12273" max="12273" width="4.5" style="1012" customWidth="1"/>
    <col min="12274" max="12274" width="35" style="1012" customWidth="1"/>
    <col min="12275" max="12275" width="10" style="1012" customWidth="1"/>
    <col min="12276" max="12277" width="8.6640625" style="1012" customWidth="1"/>
    <col min="12278" max="12278" width="11.1640625" style="1012" customWidth="1"/>
    <col min="12279" max="12280" width="8.6640625" style="1012" customWidth="1"/>
    <col min="12281" max="12281" width="17.83203125" style="1012" customWidth="1"/>
    <col min="12282" max="12282" width="18.1640625" style="1012" customWidth="1"/>
    <col min="12283" max="12283" width="5.5" style="1012" customWidth="1"/>
    <col min="12284" max="12284" width="35" style="1012" customWidth="1"/>
    <col min="12285" max="12285" width="10" style="1012" customWidth="1"/>
    <col min="12286" max="12287" width="8.6640625" style="1012" customWidth="1"/>
    <col min="12288" max="12288" width="10.1640625" style="1012" customWidth="1"/>
    <col min="12289" max="12290" width="8.6640625" style="1012" customWidth="1"/>
    <col min="12291" max="12291" width="18.33203125" style="1012" customWidth="1"/>
    <col min="12292" max="12292" width="18.5" style="1012" customWidth="1"/>
    <col min="12293" max="12293" width="6.33203125" style="1012" customWidth="1"/>
    <col min="12294" max="12294" width="19.83203125" style="1012" customWidth="1"/>
    <col min="12295" max="12528" width="8.83203125" style="1012"/>
    <col min="12529" max="12529" width="4.5" style="1012" customWidth="1"/>
    <col min="12530" max="12530" width="35" style="1012" customWidth="1"/>
    <col min="12531" max="12531" width="10" style="1012" customWidth="1"/>
    <col min="12532" max="12533" width="8.6640625" style="1012" customWidth="1"/>
    <col min="12534" max="12534" width="11.1640625" style="1012" customWidth="1"/>
    <col min="12535" max="12536" width="8.6640625" style="1012" customWidth="1"/>
    <col min="12537" max="12537" width="17.83203125" style="1012" customWidth="1"/>
    <col min="12538" max="12538" width="18.1640625" style="1012" customWidth="1"/>
    <col min="12539" max="12539" width="5.5" style="1012" customWidth="1"/>
    <col min="12540" max="12540" width="35" style="1012" customWidth="1"/>
    <col min="12541" max="12541" width="10" style="1012" customWidth="1"/>
    <col min="12542" max="12543" width="8.6640625" style="1012" customWidth="1"/>
    <col min="12544" max="12544" width="10.1640625" style="1012" customWidth="1"/>
    <col min="12545" max="12546" width="8.6640625" style="1012" customWidth="1"/>
    <col min="12547" max="12547" width="18.33203125" style="1012" customWidth="1"/>
    <col min="12548" max="12548" width="18.5" style="1012" customWidth="1"/>
    <col min="12549" max="12549" width="6.33203125" style="1012" customWidth="1"/>
    <col min="12550" max="12550" width="19.83203125" style="1012" customWidth="1"/>
    <col min="12551" max="12784" width="8.83203125" style="1012"/>
    <col min="12785" max="12785" width="4.5" style="1012" customWidth="1"/>
    <col min="12786" max="12786" width="35" style="1012" customWidth="1"/>
    <col min="12787" max="12787" width="10" style="1012" customWidth="1"/>
    <col min="12788" max="12789" width="8.6640625" style="1012" customWidth="1"/>
    <col min="12790" max="12790" width="11.1640625" style="1012" customWidth="1"/>
    <col min="12791" max="12792" width="8.6640625" style="1012" customWidth="1"/>
    <col min="12793" max="12793" width="17.83203125" style="1012" customWidth="1"/>
    <col min="12794" max="12794" width="18.1640625" style="1012" customWidth="1"/>
    <col min="12795" max="12795" width="5.5" style="1012" customWidth="1"/>
    <col min="12796" max="12796" width="35" style="1012" customWidth="1"/>
    <col min="12797" max="12797" width="10" style="1012" customWidth="1"/>
    <col min="12798" max="12799" width="8.6640625" style="1012" customWidth="1"/>
    <col min="12800" max="12800" width="10.1640625" style="1012" customWidth="1"/>
    <col min="12801" max="12802" width="8.6640625" style="1012" customWidth="1"/>
    <col min="12803" max="12803" width="18.33203125" style="1012" customWidth="1"/>
    <col min="12804" max="12804" width="18.5" style="1012" customWidth="1"/>
    <col min="12805" max="12805" width="6.33203125" style="1012" customWidth="1"/>
    <col min="12806" max="12806" width="19.83203125" style="1012" customWidth="1"/>
    <col min="12807" max="13040" width="8.83203125" style="1012"/>
    <col min="13041" max="13041" width="4.5" style="1012" customWidth="1"/>
    <col min="13042" max="13042" width="35" style="1012" customWidth="1"/>
    <col min="13043" max="13043" width="10" style="1012" customWidth="1"/>
    <col min="13044" max="13045" width="8.6640625" style="1012" customWidth="1"/>
    <col min="13046" max="13046" width="11.1640625" style="1012" customWidth="1"/>
    <col min="13047" max="13048" width="8.6640625" style="1012" customWidth="1"/>
    <col min="13049" max="13049" width="17.83203125" style="1012" customWidth="1"/>
    <col min="13050" max="13050" width="18.1640625" style="1012" customWidth="1"/>
    <col min="13051" max="13051" width="5.5" style="1012" customWidth="1"/>
    <col min="13052" max="13052" width="35" style="1012" customWidth="1"/>
    <col min="13053" max="13053" width="10" style="1012" customWidth="1"/>
    <col min="13054" max="13055" width="8.6640625" style="1012" customWidth="1"/>
    <col min="13056" max="13056" width="10.1640625" style="1012" customWidth="1"/>
    <col min="13057" max="13058" width="8.6640625" style="1012" customWidth="1"/>
    <col min="13059" max="13059" width="18.33203125" style="1012" customWidth="1"/>
    <col min="13060" max="13060" width="18.5" style="1012" customWidth="1"/>
    <col min="13061" max="13061" width="6.33203125" style="1012" customWidth="1"/>
    <col min="13062" max="13062" width="19.83203125" style="1012" customWidth="1"/>
    <col min="13063" max="13296" width="8.83203125" style="1012"/>
    <col min="13297" max="13297" width="4.5" style="1012" customWidth="1"/>
    <col min="13298" max="13298" width="35" style="1012" customWidth="1"/>
    <col min="13299" max="13299" width="10" style="1012" customWidth="1"/>
    <col min="13300" max="13301" width="8.6640625" style="1012" customWidth="1"/>
    <col min="13302" max="13302" width="11.1640625" style="1012" customWidth="1"/>
    <col min="13303" max="13304" width="8.6640625" style="1012" customWidth="1"/>
    <col min="13305" max="13305" width="17.83203125" style="1012" customWidth="1"/>
    <col min="13306" max="13306" width="18.1640625" style="1012" customWidth="1"/>
    <col min="13307" max="13307" width="5.5" style="1012" customWidth="1"/>
    <col min="13308" max="13308" width="35" style="1012" customWidth="1"/>
    <col min="13309" max="13309" width="10" style="1012" customWidth="1"/>
    <col min="13310" max="13311" width="8.6640625" style="1012" customWidth="1"/>
    <col min="13312" max="13312" width="10.1640625" style="1012" customWidth="1"/>
    <col min="13313" max="13314" width="8.6640625" style="1012" customWidth="1"/>
    <col min="13315" max="13315" width="18.33203125" style="1012" customWidth="1"/>
    <col min="13316" max="13316" width="18.5" style="1012" customWidth="1"/>
    <col min="13317" max="13317" width="6.33203125" style="1012" customWidth="1"/>
    <col min="13318" max="13318" width="19.83203125" style="1012" customWidth="1"/>
    <col min="13319" max="13552" width="8.83203125" style="1012"/>
    <col min="13553" max="13553" width="4.5" style="1012" customWidth="1"/>
    <col min="13554" max="13554" width="35" style="1012" customWidth="1"/>
    <col min="13555" max="13555" width="10" style="1012" customWidth="1"/>
    <col min="13556" max="13557" width="8.6640625" style="1012" customWidth="1"/>
    <col min="13558" max="13558" width="11.1640625" style="1012" customWidth="1"/>
    <col min="13559" max="13560" width="8.6640625" style="1012" customWidth="1"/>
    <col min="13561" max="13561" width="17.83203125" style="1012" customWidth="1"/>
    <col min="13562" max="13562" width="18.1640625" style="1012" customWidth="1"/>
    <col min="13563" max="13563" width="5.5" style="1012" customWidth="1"/>
    <col min="13564" max="13564" width="35" style="1012" customWidth="1"/>
    <col min="13565" max="13565" width="10" style="1012" customWidth="1"/>
    <col min="13566" max="13567" width="8.6640625" style="1012" customWidth="1"/>
    <col min="13568" max="13568" width="10.1640625" style="1012" customWidth="1"/>
    <col min="13569" max="13570" width="8.6640625" style="1012" customWidth="1"/>
    <col min="13571" max="13571" width="18.33203125" style="1012" customWidth="1"/>
    <col min="13572" max="13572" width="18.5" style="1012" customWidth="1"/>
    <col min="13573" max="13573" width="6.33203125" style="1012" customWidth="1"/>
    <col min="13574" max="13574" width="19.83203125" style="1012" customWidth="1"/>
    <col min="13575" max="13808" width="8.83203125" style="1012"/>
    <col min="13809" max="13809" width="4.5" style="1012" customWidth="1"/>
    <col min="13810" max="13810" width="35" style="1012" customWidth="1"/>
    <col min="13811" max="13811" width="10" style="1012" customWidth="1"/>
    <col min="13812" max="13813" width="8.6640625" style="1012" customWidth="1"/>
    <col min="13814" max="13814" width="11.1640625" style="1012" customWidth="1"/>
    <col min="13815" max="13816" width="8.6640625" style="1012" customWidth="1"/>
    <col min="13817" max="13817" width="17.83203125" style="1012" customWidth="1"/>
    <col min="13818" max="13818" width="18.1640625" style="1012" customWidth="1"/>
    <col min="13819" max="13819" width="5.5" style="1012" customWidth="1"/>
    <col min="13820" max="13820" width="35" style="1012" customWidth="1"/>
    <col min="13821" max="13821" width="10" style="1012" customWidth="1"/>
    <col min="13822" max="13823" width="8.6640625" style="1012" customWidth="1"/>
    <col min="13824" max="13824" width="10.1640625" style="1012" customWidth="1"/>
    <col min="13825" max="13826" width="8.6640625" style="1012" customWidth="1"/>
    <col min="13827" max="13827" width="18.33203125" style="1012" customWidth="1"/>
    <col min="13828" max="13828" width="18.5" style="1012" customWidth="1"/>
    <col min="13829" max="13829" width="6.33203125" style="1012" customWidth="1"/>
    <col min="13830" max="13830" width="19.83203125" style="1012" customWidth="1"/>
    <col min="13831" max="14064" width="8.83203125" style="1012"/>
    <col min="14065" max="14065" width="4.5" style="1012" customWidth="1"/>
    <col min="14066" max="14066" width="35" style="1012" customWidth="1"/>
    <col min="14067" max="14067" width="10" style="1012" customWidth="1"/>
    <col min="14068" max="14069" width="8.6640625" style="1012" customWidth="1"/>
    <col min="14070" max="14070" width="11.1640625" style="1012" customWidth="1"/>
    <col min="14071" max="14072" width="8.6640625" style="1012" customWidth="1"/>
    <col min="14073" max="14073" width="17.83203125" style="1012" customWidth="1"/>
    <col min="14074" max="14074" width="18.1640625" style="1012" customWidth="1"/>
    <col min="14075" max="14075" width="5.5" style="1012" customWidth="1"/>
    <col min="14076" max="14076" width="35" style="1012" customWidth="1"/>
    <col min="14077" max="14077" width="10" style="1012" customWidth="1"/>
    <col min="14078" max="14079" width="8.6640625" style="1012" customWidth="1"/>
    <col min="14080" max="14080" width="10.1640625" style="1012" customWidth="1"/>
    <col min="14081" max="14082" width="8.6640625" style="1012" customWidth="1"/>
    <col min="14083" max="14083" width="18.33203125" style="1012" customWidth="1"/>
    <col min="14084" max="14084" width="18.5" style="1012" customWidth="1"/>
    <col min="14085" max="14085" width="6.33203125" style="1012" customWidth="1"/>
    <col min="14086" max="14086" width="19.83203125" style="1012" customWidth="1"/>
    <col min="14087" max="14320" width="8.83203125" style="1012"/>
    <col min="14321" max="14321" width="4.5" style="1012" customWidth="1"/>
    <col min="14322" max="14322" width="35" style="1012" customWidth="1"/>
    <col min="14323" max="14323" width="10" style="1012" customWidth="1"/>
    <col min="14324" max="14325" width="8.6640625" style="1012" customWidth="1"/>
    <col min="14326" max="14326" width="11.1640625" style="1012" customWidth="1"/>
    <col min="14327" max="14328" width="8.6640625" style="1012" customWidth="1"/>
    <col min="14329" max="14329" width="17.83203125" style="1012" customWidth="1"/>
    <col min="14330" max="14330" width="18.1640625" style="1012" customWidth="1"/>
    <col min="14331" max="14331" width="5.5" style="1012" customWidth="1"/>
    <col min="14332" max="14332" width="35" style="1012" customWidth="1"/>
    <col min="14333" max="14333" width="10" style="1012" customWidth="1"/>
    <col min="14334" max="14335" width="8.6640625" style="1012" customWidth="1"/>
    <col min="14336" max="14336" width="10.1640625" style="1012" customWidth="1"/>
    <col min="14337" max="14338" width="8.6640625" style="1012" customWidth="1"/>
    <col min="14339" max="14339" width="18.33203125" style="1012" customWidth="1"/>
    <col min="14340" max="14340" width="18.5" style="1012" customWidth="1"/>
    <col min="14341" max="14341" width="6.33203125" style="1012" customWidth="1"/>
    <col min="14342" max="14342" width="19.83203125" style="1012" customWidth="1"/>
    <col min="14343" max="14576" width="8.83203125" style="1012"/>
    <col min="14577" max="14577" width="4.5" style="1012" customWidth="1"/>
    <col min="14578" max="14578" width="35" style="1012" customWidth="1"/>
    <col min="14579" max="14579" width="10" style="1012" customWidth="1"/>
    <col min="14580" max="14581" width="8.6640625" style="1012" customWidth="1"/>
    <col min="14582" max="14582" width="11.1640625" style="1012" customWidth="1"/>
    <col min="14583" max="14584" width="8.6640625" style="1012" customWidth="1"/>
    <col min="14585" max="14585" width="17.83203125" style="1012" customWidth="1"/>
    <col min="14586" max="14586" width="18.1640625" style="1012" customWidth="1"/>
    <col min="14587" max="14587" width="5.5" style="1012" customWidth="1"/>
    <col min="14588" max="14588" width="35" style="1012" customWidth="1"/>
    <col min="14589" max="14589" width="10" style="1012" customWidth="1"/>
    <col min="14590" max="14591" width="8.6640625" style="1012" customWidth="1"/>
    <col min="14592" max="14592" width="10.1640625" style="1012" customWidth="1"/>
    <col min="14593" max="14594" width="8.6640625" style="1012" customWidth="1"/>
    <col min="14595" max="14595" width="18.33203125" style="1012" customWidth="1"/>
    <col min="14596" max="14596" width="18.5" style="1012" customWidth="1"/>
    <col min="14597" max="14597" width="6.33203125" style="1012" customWidth="1"/>
    <col min="14598" max="14598" width="19.83203125" style="1012" customWidth="1"/>
    <col min="14599" max="14832" width="8.83203125" style="1012"/>
    <col min="14833" max="14833" width="4.5" style="1012" customWidth="1"/>
    <col min="14834" max="14834" width="35" style="1012" customWidth="1"/>
    <col min="14835" max="14835" width="10" style="1012" customWidth="1"/>
    <col min="14836" max="14837" width="8.6640625" style="1012" customWidth="1"/>
    <col min="14838" max="14838" width="11.1640625" style="1012" customWidth="1"/>
    <col min="14839" max="14840" width="8.6640625" style="1012" customWidth="1"/>
    <col min="14841" max="14841" width="17.83203125" style="1012" customWidth="1"/>
    <col min="14842" max="14842" width="18.1640625" style="1012" customWidth="1"/>
    <col min="14843" max="14843" width="5.5" style="1012" customWidth="1"/>
    <col min="14844" max="14844" width="35" style="1012" customWidth="1"/>
    <col min="14845" max="14845" width="10" style="1012" customWidth="1"/>
    <col min="14846" max="14847" width="8.6640625" style="1012" customWidth="1"/>
    <col min="14848" max="14848" width="10.1640625" style="1012" customWidth="1"/>
    <col min="14849" max="14850" width="8.6640625" style="1012" customWidth="1"/>
    <col min="14851" max="14851" width="18.33203125" style="1012" customWidth="1"/>
    <col min="14852" max="14852" width="18.5" style="1012" customWidth="1"/>
    <col min="14853" max="14853" width="6.33203125" style="1012" customWidth="1"/>
    <col min="14854" max="14854" width="19.83203125" style="1012" customWidth="1"/>
    <col min="14855" max="15088" width="8.83203125" style="1012"/>
    <col min="15089" max="15089" width="4.5" style="1012" customWidth="1"/>
    <col min="15090" max="15090" width="35" style="1012" customWidth="1"/>
    <col min="15091" max="15091" width="10" style="1012" customWidth="1"/>
    <col min="15092" max="15093" width="8.6640625" style="1012" customWidth="1"/>
    <col min="15094" max="15094" width="11.1640625" style="1012" customWidth="1"/>
    <col min="15095" max="15096" width="8.6640625" style="1012" customWidth="1"/>
    <col min="15097" max="15097" width="17.83203125" style="1012" customWidth="1"/>
    <col min="15098" max="15098" width="18.1640625" style="1012" customWidth="1"/>
    <col min="15099" max="15099" width="5.5" style="1012" customWidth="1"/>
    <col min="15100" max="15100" width="35" style="1012" customWidth="1"/>
    <col min="15101" max="15101" width="10" style="1012" customWidth="1"/>
    <col min="15102" max="15103" width="8.6640625" style="1012" customWidth="1"/>
    <col min="15104" max="15104" width="10.1640625" style="1012" customWidth="1"/>
    <col min="15105" max="15106" width="8.6640625" style="1012" customWidth="1"/>
    <col min="15107" max="15107" width="18.33203125" style="1012" customWidth="1"/>
    <col min="15108" max="15108" width="18.5" style="1012" customWidth="1"/>
    <col min="15109" max="15109" width="6.33203125" style="1012" customWidth="1"/>
    <col min="15110" max="15110" width="19.83203125" style="1012" customWidth="1"/>
    <col min="15111" max="15344" width="8.83203125" style="1012"/>
    <col min="15345" max="15345" width="4.5" style="1012" customWidth="1"/>
    <col min="15346" max="15346" width="35" style="1012" customWidth="1"/>
    <col min="15347" max="15347" width="10" style="1012" customWidth="1"/>
    <col min="15348" max="15349" width="8.6640625" style="1012" customWidth="1"/>
    <col min="15350" max="15350" width="11.1640625" style="1012" customWidth="1"/>
    <col min="15351" max="15352" width="8.6640625" style="1012" customWidth="1"/>
    <col min="15353" max="15353" width="17.83203125" style="1012" customWidth="1"/>
    <col min="15354" max="15354" width="18.1640625" style="1012" customWidth="1"/>
    <col min="15355" max="15355" width="5.5" style="1012" customWidth="1"/>
    <col min="15356" max="15356" width="35" style="1012" customWidth="1"/>
    <col min="15357" max="15357" width="10" style="1012" customWidth="1"/>
    <col min="15358" max="15359" width="8.6640625" style="1012" customWidth="1"/>
    <col min="15360" max="15360" width="10.1640625" style="1012" customWidth="1"/>
    <col min="15361" max="15362" width="8.6640625" style="1012" customWidth="1"/>
    <col min="15363" max="15363" width="18.33203125" style="1012" customWidth="1"/>
    <col min="15364" max="15364" width="18.5" style="1012" customWidth="1"/>
    <col min="15365" max="15365" width="6.33203125" style="1012" customWidth="1"/>
    <col min="15366" max="15366" width="19.83203125" style="1012" customWidth="1"/>
    <col min="15367" max="15600" width="8.83203125" style="1012"/>
    <col min="15601" max="15601" width="4.5" style="1012" customWidth="1"/>
    <col min="15602" max="15602" width="35" style="1012" customWidth="1"/>
    <col min="15603" max="15603" width="10" style="1012" customWidth="1"/>
    <col min="15604" max="15605" width="8.6640625" style="1012" customWidth="1"/>
    <col min="15606" max="15606" width="11.1640625" style="1012" customWidth="1"/>
    <col min="15607" max="15608" width="8.6640625" style="1012" customWidth="1"/>
    <col min="15609" max="15609" width="17.83203125" style="1012" customWidth="1"/>
    <col min="15610" max="15610" width="18.1640625" style="1012" customWidth="1"/>
    <col min="15611" max="15611" width="5.5" style="1012" customWidth="1"/>
    <col min="15612" max="15612" width="35" style="1012" customWidth="1"/>
    <col min="15613" max="15613" width="10" style="1012" customWidth="1"/>
    <col min="15614" max="15615" width="8.6640625" style="1012" customWidth="1"/>
    <col min="15616" max="15616" width="10.1640625" style="1012" customWidth="1"/>
    <col min="15617" max="15618" width="8.6640625" style="1012" customWidth="1"/>
    <col min="15619" max="15619" width="18.33203125" style="1012" customWidth="1"/>
    <col min="15620" max="15620" width="18.5" style="1012" customWidth="1"/>
    <col min="15621" max="15621" width="6.33203125" style="1012" customWidth="1"/>
    <col min="15622" max="15622" width="19.83203125" style="1012" customWidth="1"/>
    <col min="15623" max="15856" width="8.83203125" style="1012"/>
    <col min="15857" max="15857" width="4.5" style="1012" customWidth="1"/>
    <col min="15858" max="15858" width="35" style="1012" customWidth="1"/>
    <col min="15859" max="15859" width="10" style="1012" customWidth="1"/>
    <col min="15860" max="15861" width="8.6640625" style="1012" customWidth="1"/>
    <col min="15862" max="15862" width="11.1640625" style="1012" customWidth="1"/>
    <col min="15863" max="15864" width="8.6640625" style="1012" customWidth="1"/>
    <col min="15865" max="15865" width="17.83203125" style="1012" customWidth="1"/>
    <col min="15866" max="15866" width="18.1640625" style="1012" customWidth="1"/>
    <col min="15867" max="15867" width="5.5" style="1012" customWidth="1"/>
    <col min="15868" max="15868" width="35" style="1012" customWidth="1"/>
    <col min="15869" max="15869" width="10" style="1012" customWidth="1"/>
    <col min="15870" max="15871" width="8.6640625" style="1012" customWidth="1"/>
    <col min="15872" max="15872" width="10.1640625" style="1012" customWidth="1"/>
    <col min="15873" max="15874" width="8.6640625" style="1012" customWidth="1"/>
    <col min="15875" max="15875" width="18.33203125" style="1012" customWidth="1"/>
    <col min="15876" max="15876" width="18.5" style="1012" customWidth="1"/>
    <col min="15877" max="15877" width="6.33203125" style="1012" customWidth="1"/>
    <col min="15878" max="15878" width="19.83203125" style="1012" customWidth="1"/>
    <col min="15879" max="16112" width="8.83203125" style="1012"/>
    <col min="16113" max="16113" width="4.5" style="1012" customWidth="1"/>
    <col min="16114" max="16114" width="35" style="1012" customWidth="1"/>
    <col min="16115" max="16115" width="10" style="1012" customWidth="1"/>
    <col min="16116" max="16117" width="8.6640625" style="1012" customWidth="1"/>
    <col min="16118" max="16118" width="11.1640625" style="1012" customWidth="1"/>
    <col min="16119" max="16120" width="8.6640625" style="1012" customWidth="1"/>
    <col min="16121" max="16121" width="17.83203125" style="1012" customWidth="1"/>
    <col min="16122" max="16122" width="18.1640625" style="1012" customWidth="1"/>
    <col min="16123" max="16123" width="5.5" style="1012" customWidth="1"/>
    <col min="16124" max="16124" width="35" style="1012" customWidth="1"/>
    <col min="16125" max="16125" width="10" style="1012" customWidth="1"/>
    <col min="16126" max="16127" width="8.6640625" style="1012" customWidth="1"/>
    <col min="16128" max="16128" width="10.1640625" style="1012" customWidth="1"/>
    <col min="16129" max="16130" width="8.6640625" style="1012" customWidth="1"/>
    <col min="16131" max="16131" width="18.33203125" style="1012" customWidth="1"/>
    <col min="16132" max="16132" width="18.5" style="1012" customWidth="1"/>
    <col min="16133" max="16133" width="6.33203125" style="1012" customWidth="1"/>
    <col min="16134" max="16134" width="19.83203125" style="1012" customWidth="1"/>
    <col min="16135" max="16384" width="8.83203125" style="1012"/>
  </cols>
  <sheetData>
    <row r="2" spans="1:10" ht="13" thickBot="1"/>
    <row r="3" spans="1:10">
      <c r="A3" s="1154" t="s">
        <v>1293</v>
      </c>
      <c r="B3" s="1155"/>
      <c r="C3" s="1155"/>
      <c r="D3" s="1155"/>
      <c r="E3" s="1155"/>
      <c r="F3" s="1155"/>
      <c r="G3" s="1155"/>
      <c r="H3" s="1155"/>
      <c r="I3" s="1156"/>
    </row>
    <row r="4" spans="1:10" ht="13" thickBot="1">
      <c r="A4" s="1157"/>
      <c r="B4" s="1158"/>
      <c r="C4" s="1158"/>
      <c r="D4" s="1158"/>
      <c r="E4" s="1158"/>
      <c r="F4" s="1158"/>
      <c r="G4" s="1158"/>
      <c r="H4" s="1158"/>
      <c r="I4" s="1159"/>
    </row>
    <row r="5" spans="1:10">
      <c r="A5" s="1034" t="s">
        <v>1292</v>
      </c>
      <c r="B5" s="1033"/>
      <c r="C5" s="1033"/>
      <c r="D5" s="1033"/>
      <c r="E5" s="1033"/>
      <c r="F5" s="1033"/>
      <c r="G5" s="1033"/>
      <c r="H5" s="1033"/>
      <c r="I5" s="1032"/>
    </row>
    <row r="6" spans="1:10">
      <c r="A6" s="1017"/>
      <c r="I6" s="1044"/>
    </row>
    <row r="7" spans="1:10">
      <c r="A7" s="1028" t="s">
        <v>1532</v>
      </c>
      <c r="C7" s="1016" t="s">
        <v>139</v>
      </c>
      <c r="D7" s="1016" t="s">
        <v>37</v>
      </c>
      <c r="E7" s="1016"/>
      <c r="F7" s="1016" t="s">
        <v>38</v>
      </c>
      <c r="G7" s="1016" t="s">
        <v>5</v>
      </c>
      <c r="H7" s="1016" t="s">
        <v>2</v>
      </c>
      <c r="I7" s="1021" t="s">
        <v>1205</v>
      </c>
    </row>
    <row r="8" spans="1:10">
      <c r="A8" s="1017"/>
      <c r="I8" s="1044"/>
    </row>
    <row r="9" spans="1:10">
      <c r="A9" s="1017" t="s">
        <v>1528</v>
      </c>
      <c r="C9" s="1016">
        <v>150</v>
      </c>
      <c r="D9" s="1030">
        <v>1.3500000000000085</v>
      </c>
      <c r="E9" s="1016" t="s">
        <v>4</v>
      </c>
      <c r="F9" s="1030">
        <v>24</v>
      </c>
      <c r="G9" s="1016" t="s">
        <v>4</v>
      </c>
      <c r="H9" s="1043">
        <v>0</v>
      </c>
      <c r="I9" s="1027">
        <f>SUM(F9*H9)</f>
        <v>0</v>
      </c>
    </row>
    <row r="10" spans="1:10">
      <c r="A10" s="1017" t="s">
        <v>1527</v>
      </c>
      <c r="C10" s="1016">
        <v>150</v>
      </c>
      <c r="D10" s="1030">
        <v>2.25</v>
      </c>
      <c r="E10" s="1016" t="s">
        <v>4</v>
      </c>
      <c r="F10" s="1030">
        <v>30</v>
      </c>
      <c r="G10" s="1016" t="s">
        <v>4</v>
      </c>
      <c r="H10" s="1043">
        <v>0</v>
      </c>
      <c r="I10" s="1027">
        <f>SUM(F10*H10)</f>
        <v>0</v>
      </c>
    </row>
    <row r="11" spans="1:10">
      <c r="A11" s="1017" t="s">
        <v>1526</v>
      </c>
      <c r="C11" s="1016">
        <v>150</v>
      </c>
      <c r="D11" s="1030">
        <v>2.2500000000000142</v>
      </c>
      <c r="E11" s="1016" t="s">
        <v>4</v>
      </c>
      <c r="F11" s="1030">
        <v>42.5</v>
      </c>
      <c r="G11" s="1016" t="s">
        <v>4</v>
      </c>
      <c r="H11" s="1043">
        <v>0</v>
      </c>
      <c r="I11" s="1027">
        <f>SUM(F11*H11)</f>
        <v>0</v>
      </c>
    </row>
    <row r="12" spans="1:10">
      <c r="A12" s="1031" t="s">
        <v>1470</v>
      </c>
      <c r="C12" s="1016">
        <v>150</v>
      </c>
      <c r="D12" s="1030">
        <v>1.3499999999999943</v>
      </c>
      <c r="E12" s="1016" t="s">
        <v>4</v>
      </c>
      <c r="F12" s="1030">
        <v>35.725833265299762</v>
      </c>
      <c r="G12" s="1016" t="s">
        <v>4</v>
      </c>
      <c r="H12" s="1043">
        <v>0</v>
      </c>
      <c r="I12" s="1027">
        <f>SUM(F12*H12)</f>
        <v>0</v>
      </c>
      <c r="J12" s="1041"/>
    </row>
    <row r="13" spans="1:10">
      <c r="A13" s="1031" t="s">
        <v>1469</v>
      </c>
      <c r="C13" s="1016">
        <v>150</v>
      </c>
      <c r="D13" s="1030">
        <v>1.3875000000000028</v>
      </c>
      <c r="E13" s="1016" t="s">
        <v>4</v>
      </c>
      <c r="F13" s="1030">
        <v>22.261004565158355</v>
      </c>
      <c r="G13" s="1016" t="s">
        <v>4</v>
      </c>
      <c r="H13" s="1043">
        <v>0</v>
      </c>
      <c r="I13" s="1027">
        <f>SUM(F13*H13)</f>
        <v>0</v>
      </c>
      <c r="J13" s="1041"/>
    </row>
    <row r="14" spans="1:10">
      <c r="A14" s="1031" t="s">
        <v>1466</v>
      </c>
      <c r="C14" s="1016">
        <v>150</v>
      </c>
      <c r="D14" s="1030">
        <v>1.4630000000000081</v>
      </c>
      <c r="E14" s="1016" t="s">
        <v>4</v>
      </c>
      <c r="F14" s="1030">
        <v>30.863763947386602</v>
      </c>
      <c r="G14" s="1016" t="s">
        <v>4</v>
      </c>
      <c r="H14" s="1043">
        <v>0</v>
      </c>
      <c r="I14" s="1027">
        <f>SUM(F14*H14)</f>
        <v>0</v>
      </c>
      <c r="J14" s="1041"/>
    </row>
    <row r="15" spans="1:10">
      <c r="A15" s="1031" t="s">
        <v>1463</v>
      </c>
      <c r="C15" s="1016">
        <v>150</v>
      </c>
      <c r="D15" s="1030">
        <v>1.3499999999999943</v>
      </c>
      <c r="E15" s="1016" t="s">
        <v>4</v>
      </c>
      <c r="F15" s="1030">
        <v>30.926731127780116</v>
      </c>
      <c r="G15" s="1016" t="s">
        <v>4</v>
      </c>
      <c r="H15" s="1043">
        <v>0</v>
      </c>
      <c r="I15" s="1027">
        <f>SUM(F15*H15)</f>
        <v>0</v>
      </c>
      <c r="J15" s="1041"/>
    </row>
    <row r="16" spans="1:10">
      <c r="A16" s="1031" t="s">
        <v>1462</v>
      </c>
      <c r="C16" s="1016">
        <v>150</v>
      </c>
      <c r="D16" s="1030">
        <v>1.3875000000000028</v>
      </c>
      <c r="E16" s="1016" t="s">
        <v>4</v>
      </c>
      <c r="F16" s="1030">
        <v>21.518888273301251</v>
      </c>
      <c r="G16" s="1016" t="s">
        <v>4</v>
      </c>
      <c r="H16" s="1043">
        <v>0</v>
      </c>
      <c r="I16" s="1027">
        <f>SUM(F16*H16)</f>
        <v>0</v>
      </c>
      <c r="J16" s="1041"/>
    </row>
    <row r="17" spans="1:10">
      <c r="A17" s="1031" t="s">
        <v>1457</v>
      </c>
      <c r="C17" s="1016">
        <v>150</v>
      </c>
      <c r="D17" s="1030">
        <v>1.3875000000000028</v>
      </c>
      <c r="E17" s="1016" t="s">
        <v>4</v>
      </c>
      <c r="F17" s="1030">
        <v>35.905563012575065</v>
      </c>
      <c r="G17" s="1016" t="s">
        <v>4</v>
      </c>
      <c r="H17" s="1043">
        <v>0</v>
      </c>
      <c r="I17" s="1027">
        <f>SUM(F17*H17)</f>
        <v>0</v>
      </c>
      <c r="J17" s="1041"/>
    </row>
    <row r="18" spans="1:10">
      <c r="A18" s="1031" t="s">
        <v>1454</v>
      </c>
      <c r="C18" s="1016">
        <v>150</v>
      </c>
      <c r="D18" s="1030">
        <v>1.3900000000000006</v>
      </c>
      <c r="E18" s="1016" t="s">
        <v>4</v>
      </c>
      <c r="F18" s="1030">
        <v>28.170285284320435</v>
      </c>
      <c r="G18" s="1016" t="s">
        <v>4</v>
      </c>
      <c r="H18" s="1043">
        <v>0</v>
      </c>
      <c r="I18" s="1027">
        <f>SUM(F18*H18)</f>
        <v>0</v>
      </c>
      <c r="J18" s="1041"/>
    </row>
    <row r="19" spans="1:10">
      <c r="A19" s="1031" t="s">
        <v>1453</v>
      </c>
      <c r="C19" s="1016">
        <v>150</v>
      </c>
      <c r="D19" s="1030">
        <v>1.4275000000000091</v>
      </c>
      <c r="E19" s="1016" t="s">
        <v>4</v>
      </c>
      <c r="F19" s="1030">
        <v>31.810595235707268</v>
      </c>
      <c r="G19" s="1016" t="s">
        <v>4</v>
      </c>
      <c r="H19" s="1043">
        <v>0</v>
      </c>
      <c r="I19" s="1027">
        <f>SUM(F19*H19)</f>
        <v>0</v>
      </c>
      <c r="J19" s="1041"/>
    </row>
    <row r="20" spans="1:10">
      <c r="A20" s="1031" t="s">
        <v>1450</v>
      </c>
      <c r="C20" s="1016">
        <v>150</v>
      </c>
      <c r="D20" s="1030">
        <v>1.3999999999999915</v>
      </c>
      <c r="E20" s="1016" t="s">
        <v>4</v>
      </c>
      <c r="F20" s="1030">
        <v>16.652074600481448</v>
      </c>
      <c r="G20" s="1016" t="s">
        <v>4</v>
      </c>
      <c r="H20" s="1043">
        <v>0</v>
      </c>
      <c r="I20" s="1027">
        <f>SUM(F20*H20)</f>
        <v>0</v>
      </c>
      <c r="J20" s="1041"/>
    </row>
    <row r="21" spans="1:10">
      <c r="A21" s="1017" t="s">
        <v>1531</v>
      </c>
      <c r="C21" s="1016">
        <v>225</v>
      </c>
      <c r="D21" s="1030">
        <v>1.4250000000000114</v>
      </c>
      <c r="E21" s="1016" t="s">
        <v>4</v>
      </c>
      <c r="F21" s="1030">
        <v>28.5</v>
      </c>
      <c r="G21" s="1016" t="s">
        <v>4</v>
      </c>
      <c r="H21" s="1043">
        <v>0</v>
      </c>
      <c r="I21" s="1027">
        <f>SUM(F21*H21)</f>
        <v>0</v>
      </c>
    </row>
    <row r="22" spans="1:10">
      <c r="A22" s="1017" t="s">
        <v>1530</v>
      </c>
      <c r="C22" s="1016">
        <v>225</v>
      </c>
      <c r="D22" s="1030">
        <v>1.4625000000000057</v>
      </c>
      <c r="E22" s="1016" t="s">
        <v>4</v>
      </c>
      <c r="F22" s="1030">
        <v>51</v>
      </c>
      <c r="G22" s="1016" t="s">
        <v>4</v>
      </c>
      <c r="H22" s="1043">
        <v>0</v>
      </c>
      <c r="I22" s="1027">
        <f>SUM(F22*H22)</f>
        <v>0</v>
      </c>
    </row>
    <row r="23" spans="1:10">
      <c r="A23" s="1017" t="s">
        <v>1525</v>
      </c>
      <c r="C23" s="1016">
        <v>225</v>
      </c>
      <c r="D23" s="1030">
        <v>2.7750000000000057</v>
      </c>
      <c r="E23" s="1016" t="s">
        <v>4</v>
      </c>
      <c r="F23" s="1030">
        <v>24</v>
      </c>
      <c r="G23" s="1016" t="s">
        <v>4</v>
      </c>
      <c r="H23" s="1043">
        <v>0</v>
      </c>
      <c r="I23" s="1027">
        <f>SUM(F23*H23)</f>
        <v>0</v>
      </c>
    </row>
    <row r="24" spans="1:10">
      <c r="A24" s="1017" t="s">
        <v>1524</v>
      </c>
      <c r="C24" s="1016">
        <v>225</v>
      </c>
      <c r="D24" s="1030">
        <v>1.4625000000000057</v>
      </c>
      <c r="E24" s="1016" t="s">
        <v>4</v>
      </c>
      <c r="F24" s="1030">
        <v>47.693827475366234</v>
      </c>
      <c r="G24" s="1016" t="s">
        <v>4</v>
      </c>
      <c r="H24" s="1043">
        <v>0</v>
      </c>
      <c r="I24" s="1027">
        <f>SUM(F24*H24)</f>
        <v>0</v>
      </c>
    </row>
    <row r="25" spans="1:10">
      <c r="A25" s="1017" t="s">
        <v>1523</v>
      </c>
      <c r="C25" s="1016">
        <v>225</v>
      </c>
      <c r="D25" s="1030">
        <v>1.5</v>
      </c>
      <c r="E25" s="1016" t="s">
        <v>4</v>
      </c>
      <c r="F25" s="1030">
        <v>42.439485034576009</v>
      </c>
      <c r="G25" s="1016" t="s">
        <v>4</v>
      </c>
      <c r="H25" s="1043">
        <v>0</v>
      </c>
      <c r="I25" s="1027">
        <f>SUM(F25*H25)</f>
        <v>0</v>
      </c>
    </row>
    <row r="26" spans="1:10">
      <c r="A26" s="1017" t="s">
        <v>1522</v>
      </c>
      <c r="C26" s="1016">
        <v>225</v>
      </c>
      <c r="D26" s="1030">
        <v>1.4249999999999972</v>
      </c>
      <c r="E26" s="1016" t="s">
        <v>4</v>
      </c>
      <c r="F26" s="1030">
        <v>25</v>
      </c>
      <c r="G26" s="1016" t="s">
        <v>4</v>
      </c>
      <c r="H26" s="1043">
        <v>0</v>
      </c>
      <c r="I26" s="1027">
        <f>SUM(F26*H26)</f>
        <v>0</v>
      </c>
    </row>
    <row r="27" spans="1:10">
      <c r="A27" s="1017" t="s">
        <v>1521</v>
      </c>
      <c r="C27" s="1016">
        <v>225</v>
      </c>
      <c r="D27" s="1030">
        <v>1.602499999999992</v>
      </c>
      <c r="E27" s="1016" t="s">
        <v>4</v>
      </c>
      <c r="F27" s="1030">
        <v>33.5</v>
      </c>
      <c r="G27" s="1016" t="s">
        <v>4</v>
      </c>
      <c r="H27" s="1043">
        <v>0</v>
      </c>
      <c r="I27" s="1027">
        <f>SUM(F27*H27)</f>
        <v>0</v>
      </c>
    </row>
    <row r="28" spans="1:10">
      <c r="A28" s="1017" t="s">
        <v>1520</v>
      </c>
      <c r="C28" s="1016">
        <v>225</v>
      </c>
      <c r="D28" s="1030">
        <v>2.0900000000000034</v>
      </c>
      <c r="E28" s="1016" t="s">
        <v>4</v>
      </c>
      <c r="F28" s="1030">
        <v>23</v>
      </c>
      <c r="G28" s="1016" t="s">
        <v>4</v>
      </c>
      <c r="H28" s="1043">
        <v>0</v>
      </c>
      <c r="I28" s="1027">
        <f>SUM(F28*H28)</f>
        <v>0</v>
      </c>
    </row>
    <row r="29" spans="1:10">
      <c r="A29" s="1017" t="s">
        <v>1517</v>
      </c>
      <c r="C29" s="1016">
        <v>225</v>
      </c>
      <c r="D29" s="1030">
        <v>1.4250000000000114</v>
      </c>
      <c r="E29" s="1016" t="s">
        <v>4</v>
      </c>
      <c r="F29" s="1030">
        <v>55.5</v>
      </c>
      <c r="G29" s="1016" t="s">
        <v>4</v>
      </c>
      <c r="H29" s="1043">
        <v>0</v>
      </c>
      <c r="I29" s="1027">
        <f>SUM(F29*H29)</f>
        <v>0</v>
      </c>
    </row>
    <row r="30" spans="1:10">
      <c r="A30" s="1017" t="s">
        <v>1516</v>
      </c>
      <c r="C30" s="1016">
        <v>225</v>
      </c>
      <c r="D30" s="1030">
        <v>1.4250000000000114</v>
      </c>
      <c r="E30" s="1016" t="s">
        <v>4</v>
      </c>
      <c r="F30" s="1030">
        <v>23</v>
      </c>
      <c r="G30" s="1016" t="s">
        <v>4</v>
      </c>
      <c r="H30" s="1043">
        <v>0</v>
      </c>
      <c r="I30" s="1027">
        <f>SUM(F30*H30)</f>
        <v>0</v>
      </c>
    </row>
    <row r="31" spans="1:10">
      <c r="A31" s="1017" t="s">
        <v>1515</v>
      </c>
      <c r="C31" s="1016">
        <v>225</v>
      </c>
      <c r="D31" s="1030">
        <v>1.5374999999999943</v>
      </c>
      <c r="E31" s="1016" t="s">
        <v>4</v>
      </c>
      <c r="F31" s="1030">
        <v>31.5</v>
      </c>
      <c r="G31" s="1016" t="s">
        <v>4</v>
      </c>
      <c r="H31" s="1043">
        <v>0</v>
      </c>
      <c r="I31" s="1027">
        <f>SUM(F31*H31)</f>
        <v>0</v>
      </c>
    </row>
    <row r="32" spans="1:10">
      <c r="A32" s="1017" t="s">
        <v>1513</v>
      </c>
      <c r="C32" s="1016">
        <v>225</v>
      </c>
      <c r="D32" s="1030">
        <v>1.4250000000000114</v>
      </c>
      <c r="E32" s="1016" t="s">
        <v>4</v>
      </c>
      <c r="F32" s="1030">
        <v>22.5</v>
      </c>
      <c r="G32" s="1016" t="s">
        <v>4</v>
      </c>
      <c r="H32" s="1043">
        <v>0</v>
      </c>
      <c r="I32" s="1027">
        <f>SUM(F32*H32)</f>
        <v>0</v>
      </c>
    </row>
    <row r="33" spans="1:9">
      <c r="A33" s="1017" t="s">
        <v>1512</v>
      </c>
      <c r="C33" s="1016">
        <v>225</v>
      </c>
      <c r="D33" s="1030">
        <v>1.5750000000000028</v>
      </c>
      <c r="E33" s="1016" t="s">
        <v>4</v>
      </c>
      <c r="F33" s="1030">
        <v>11</v>
      </c>
      <c r="G33" s="1016" t="s">
        <v>4</v>
      </c>
      <c r="H33" s="1043">
        <v>0</v>
      </c>
      <c r="I33" s="1027">
        <f>SUM(F33*H33)</f>
        <v>0</v>
      </c>
    </row>
    <row r="34" spans="1:9">
      <c r="A34" s="1017" t="s">
        <v>1510</v>
      </c>
      <c r="C34" s="1016">
        <v>225</v>
      </c>
      <c r="D34" s="1030">
        <v>1.4250000000000114</v>
      </c>
      <c r="E34" s="1016" t="s">
        <v>4</v>
      </c>
      <c r="F34" s="1030">
        <v>43</v>
      </c>
      <c r="G34" s="1016" t="s">
        <v>4</v>
      </c>
      <c r="H34" s="1043">
        <v>0</v>
      </c>
      <c r="I34" s="1027">
        <f>SUM(F34*H34)</f>
        <v>0</v>
      </c>
    </row>
    <row r="35" spans="1:9">
      <c r="A35" s="1017" t="s">
        <v>1509</v>
      </c>
      <c r="C35" s="1016">
        <v>225</v>
      </c>
      <c r="D35" s="1030">
        <v>1.6124999999999972</v>
      </c>
      <c r="E35" s="1016" t="s">
        <v>4</v>
      </c>
      <c r="F35" s="1030">
        <v>48.5</v>
      </c>
      <c r="G35" s="1016" t="s">
        <v>4</v>
      </c>
      <c r="H35" s="1043">
        <v>0</v>
      </c>
      <c r="I35" s="1027">
        <f>SUM(F35*H35)</f>
        <v>0</v>
      </c>
    </row>
    <row r="36" spans="1:9">
      <c r="A36" s="1017" t="s">
        <v>1506</v>
      </c>
      <c r="C36" s="1016">
        <v>225</v>
      </c>
      <c r="D36" s="1030">
        <v>1.4250000000000114</v>
      </c>
      <c r="E36" s="1016" t="s">
        <v>4</v>
      </c>
      <c r="F36" s="1030">
        <v>65</v>
      </c>
      <c r="G36" s="1016" t="s">
        <v>4</v>
      </c>
      <c r="H36" s="1043">
        <v>0</v>
      </c>
      <c r="I36" s="1027">
        <f>SUM(F36*H36)</f>
        <v>0</v>
      </c>
    </row>
    <row r="37" spans="1:9">
      <c r="A37" s="1017" t="s">
        <v>1505</v>
      </c>
      <c r="C37" s="1016">
        <v>225</v>
      </c>
      <c r="D37" s="1030">
        <v>1.4249999999999972</v>
      </c>
      <c r="E37" s="1016" t="s">
        <v>4</v>
      </c>
      <c r="F37" s="1030">
        <v>51.5</v>
      </c>
      <c r="G37" s="1016" t="s">
        <v>4</v>
      </c>
      <c r="H37" s="1043">
        <v>0</v>
      </c>
      <c r="I37" s="1027">
        <f>SUM(F37*H37)</f>
        <v>0</v>
      </c>
    </row>
    <row r="38" spans="1:9">
      <c r="A38" s="1017" t="s">
        <v>1504</v>
      </c>
      <c r="C38" s="1016">
        <v>225</v>
      </c>
      <c r="D38" s="1030">
        <v>1.4254999999999853</v>
      </c>
      <c r="E38" s="1016" t="s">
        <v>4</v>
      </c>
      <c r="F38" s="1030">
        <v>20</v>
      </c>
      <c r="G38" s="1016" t="s">
        <v>4</v>
      </c>
      <c r="H38" s="1043">
        <v>0</v>
      </c>
      <c r="I38" s="1027">
        <f>SUM(F38*H38)</f>
        <v>0</v>
      </c>
    </row>
    <row r="39" spans="1:9">
      <c r="A39" s="1017" t="s">
        <v>1503</v>
      </c>
      <c r="C39" s="1016">
        <v>225</v>
      </c>
      <c r="D39" s="1030">
        <v>1.6739999999999924</v>
      </c>
      <c r="E39" s="1016" t="s">
        <v>4</v>
      </c>
      <c r="F39" s="1030">
        <v>19</v>
      </c>
      <c r="G39" s="1016" t="s">
        <v>4</v>
      </c>
      <c r="H39" s="1043">
        <v>0</v>
      </c>
      <c r="I39" s="1027">
        <f>SUM(F39*H39)</f>
        <v>0</v>
      </c>
    </row>
    <row r="40" spans="1:9">
      <c r="A40" s="1017" t="s">
        <v>1502</v>
      </c>
      <c r="C40" s="1016">
        <v>225</v>
      </c>
      <c r="D40" s="1030">
        <v>1.9794999999999874</v>
      </c>
      <c r="E40" s="1016" t="s">
        <v>4</v>
      </c>
      <c r="F40" s="1030">
        <v>15.5</v>
      </c>
      <c r="G40" s="1016" t="s">
        <v>4</v>
      </c>
      <c r="H40" s="1043">
        <v>0</v>
      </c>
      <c r="I40" s="1027">
        <f>SUM(F40*H40)</f>
        <v>0</v>
      </c>
    </row>
    <row r="41" spans="1:9">
      <c r="A41" s="1017" t="s">
        <v>1501</v>
      </c>
      <c r="C41" s="1016">
        <v>225</v>
      </c>
      <c r="D41" s="1030">
        <v>1.8534999999999888</v>
      </c>
      <c r="E41" s="1016" t="s">
        <v>4</v>
      </c>
      <c r="F41" s="1030">
        <v>20.5</v>
      </c>
      <c r="G41" s="1016" t="s">
        <v>4</v>
      </c>
      <c r="H41" s="1043">
        <v>0</v>
      </c>
      <c r="I41" s="1027">
        <f>SUM(F41*H41)</f>
        <v>0</v>
      </c>
    </row>
    <row r="42" spans="1:9">
      <c r="A42" s="1017" t="s">
        <v>1500</v>
      </c>
      <c r="C42" s="1016">
        <v>225</v>
      </c>
      <c r="D42" s="1030">
        <v>1.5475000000000056</v>
      </c>
      <c r="E42" s="1016" t="s">
        <v>4</v>
      </c>
      <c r="F42" s="1030">
        <v>26</v>
      </c>
      <c r="G42" s="1016" t="s">
        <v>4</v>
      </c>
      <c r="H42" s="1043">
        <v>0</v>
      </c>
      <c r="I42" s="1027">
        <f>SUM(F42*H42)</f>
        <v>0</v>
      </c>
    </row>
    <row r="43" spans="1:9">
      <c r="A43" s="1017" t="s">
        <v>1499</v>
      </c>
      <c r="C43" s="1016">
        <v>225</v>
      </c>
      <c r="D43" s="1030">
        <v>1.4250000000000114</v>
      </c>
      <c r="E43" s="1016" t="s">
        <v>4</v>
      </c>
      <c r="F43" s="1030">
        <v>56.5</v>
      </c>
      <c r="G43" s="1016" t="s">
        <v>4</v>
      </c>
      <c r="H43" s="1043">
        <v>0</v>
      </c>
      <c r="I43" s="1027">
        <f>SUM(F43*H43)</f>
        <v>0</v>
      </c>
    </row>
    <row r="44" spans="1:9">
      <c r="A44" s="1017" t="s">
        <v>1498</v>
      </c>
      <c r="C44" s="1016">
        <v>225</v>
      </c>
      <c r="D44" s="1030">
        <v>1.4250000000000114</v>
      </c>
      <c r="E44" s="1016" t="s">
        <v>4</v>
      </c>
      <c r="F44" s="1030">
        <v>27.5</v>
      </c>
      <c r="G44" s="1016" t="s">
        <v>4</v>
      </c>
      <c r="H44" s="1043">
        <v>0</v>
      </c>
      <c r="I44" s="1027">
        <f>SUM(F44*H44)</f>
        <v>0</v>
      </c>
    </row>
    <row r="45" spans="1:9">
      <c r="A45" s="1017" t="s">
        <v>1497</v>
      </c>
      <c r="C45" s="1016">
        <v>225</v>
      </c>
      <c r="D45" s="1030">
        <v>1.4225000000000136</v>
      </c>
      <c r="E45" s="1016" t="s">
        <v>4</v>
      </c>
      <c r="F45" s="1030">
        <v>56</v>
      </c>
      <c r="G45" s="1016" t="s">
        <v>4</v>
      </c>
      <c r="H45" s="1043">
        <v>0</v>
      </c>
      <c r="I45" s="1027">
        <f>SUM(F45*H45)</f>
        <v>0</v>
      </c>
    </row>
    <row r="46" spans="1:9">
      <c r="A46" s="1017" t="s">
        <v>1496</v>
      </c>
      <c r="C46" s="1016">
        <v>225</v>
      </c>
      <c r="D46" s="1030">
        <v>1.5350000000000108</v>
      </c>
      <c r="E46" s="1016" t="s">
        <v>4</v>
      </c>
      <c r="F46" s="1030">
        <v>30.5</v>
      </c>
      <c r="G46" s="1016" t="s">
        <v>4</v>
      </c>
      <c r="H46" s="1043">
        <v>0</v>
      </c>
      <c r="I46" s="1027">
        <f>SUM(F46*H46)</f>
        <v>0</v>
      </c>
    </row>
    <row r="47" spans="1:9">
      <c r="A47" s="1017" t="s">
        <v>1485</v>
      </c>
      <c r="C47" s="1016">
        <v>225</v>
      </c>
      <c r="D47" s="1030">
        <v>1.7249999999999943</v>
      </c>
      <c r="E47" s="1016" t="s">
        <v>4</v>
      </c>
      <c r="F47" s="1030">
        <v>11.5</v>
      </c>
      <c r="G47" s="1016" t="s">
        <v>4</v>
      </c>
      <c r="H47" s="1043">
        <v>0</v>
      </c>
      <c r="I47" s="1027">
        <f>SUM(F47*H47)</f>
        <v>0</v>
      </c>
    </row>
    <row r="48" spans="1:9">
      <c r="A48" s="1017" t="s">
        <v>1484</v>
      </c>
      <c r="C48" s="1016">
        <v>225</v>
      </c>
      <c r="D48" s="1030">
        <v>1.4249999999999972</v>
      </c>
      <c r="E48" s="1016" t="s">
        <v>4</v>
      </c>
      <c r="F48" s="1030">
        <v>34.570554482825393</v>
      </c>
      <c r="G48" s="1016" t="s">
        <v>4</v>
      </c>
      <c r="H48" s="1043">
        <v>0</v>
      </c>
      <c r="I48" s="1027">
        <f>SUM(F48*H48)</f>
        <v>0</v>
      </c>
    </row>
    <row r="49" spans="1:10">
      <c r="A49" s="1017" t="s">
        <v>1483</v>
      </c>
      <c r="C49" s="1016">
        <v>225</v>
      </c>
      <c r="D49" s="1030">
        <v>1.4250000000000114</v>
      </c>
      <c r="E49" s="1016" t="s">
        <v>4</v>
      </c>
      <c r="F49" s="1030">
        <v>28.796335778185394</v>
      </c>
      <c r="G49" s="1016" t="s">
        <v>4</v>
      </c>
      <c r="H49" s="1043">
        <v>0</v>
      </c>
      <c r="I49" s="1027">
        <f>SUM(F49*H49)</f>
        <v>0</v>
      </c>
    </row>
    <row r="50" spans="1:10">
      <c r="A50" s="1017" t="s">
        <v>1482</v>
      </c>
      <c r="C50" s="1016">
        <v>225</v>
      </c>
      <c r="D50" s="1030">
        <v>1.4625000000000057</v>
      </c>
      <c r="E50" s="1016" t="s">
        <v>4</v>
      </c>
      <c r="F50" s="1030">
        <v>33.189418856014932</v>
      </c>
      <c r="G50" s="1016" t="s">
        <v>4</v>
      </c>
      <c r="H50" s="1043">
        <v>0</v>
      </c>
      <c r="I50" s="1027">
        <f>SUM(F50*H50)</f>
        <v>0</v>
      </c>
    </row>
    <row r="51" spans="1:10">
      <c r="A51" s="1017" t="s">
        <v>1478</v>
      </c>
      <c r="C51" s="1016">
        <v>225</v>
      </c>
      <c r="D51" s="1030">
        <v>1.4624999999999915</v>
      </c>
      <c r="E51" s="1016" t="s">
        <v>4</v>
      </c>
      <c r="F51" s="1030">
        <v>50.201847680140204</v>
      </c>
      <c r="G51" s="1016" t="s">
        <v>4</v>
      </c>
      <c r="H51" s="1043">
        <v>0</v>
      </c>
      <c r="I51" s="1027">
        <f>SUM(F51*H51)</f>
        <v>0</v>
      </c>
    </row>
    <row r="52" spans="1:10">
      <c r="A52" s="1031" t="s">
        <v>1475</v>
      </c>
      <c r="C52" s="1016">
        <v>225</v>
      </c>
      <c r="D52" s="1030">
        <v>1.5374999999999943</v>
      </c>
      <c r="E52" s="1016" t="s">
        <v>4</v>
      </c>
      <c r="F52" s="1030">
        <v>41.351097718198481</v>
      </c>
      <c r="G52" s="1016" t="s">
        <v>4</v>
      </c>
      <c r="H52" s="1043">
        <v>0</v>
      </c>
      <c r="I52" s="1027">
        <f>SUM(F52*H52)</f>
        <v>0</v>
      </c>
      <c r="J52" s="1041"/>
    </row>
    <row r="53" spans="1:10">
      <c r="A53" s="1031" t="s">
        <v>1472</v>
      </c>
      <c r="C53" s="1016">
        <v>225</v>
      </c>
      <c r="D53" s="1030">
        <v>1.3999999999999915</v>
      </c>
      <c r="E53" s="1016" t="s">
        <v>4</v>
      </c>
      <c r="F53" s="1030">
        <v>52.746231488609688</v>
      </c>
      <c r="G53" s="1016" t="s">
        <v>4</v>
      </c>
      <c r="H53" s="1043">
        <v>0</v>
      </c>
      <c r="I53" s="1027">
        <f>SUM(F53*H53)</f>
        <v>0</v>
      </c>
      <c r="J53" s="1041"/>
    </row>
    <row r="54" spans="1:10">
      <c r="A54" s="1031" t="s">
        <v>1471</v>
      </c>
      <c r="C54" s="1016">
        <v>225</v>
      </c>
      <c r="D54" s="1030">
        <v>1.4374999999999858</v>
      </c>
      <c r="E54" s="1016" t="s">
        <v>4</v>
      </c>
      <c r="F54" s="1030">
        <v>26.361589789881815</v>
      </c>
      <c r="G54" s="1016" t="s">
        <v>4</v>
      </c>
      <c r="H54" s="1043">
        <v>0</v>
      </c>
      <c r="I54" s="1027">
        <f>SUM(F54*H54)</f>
        <v>0</v>
      </c>
      <c r="J54" s="1041"/>
    </row>
    <row r="55" spans="1:10">
      <c r="A55" s="1031" t="s">
        <v>1468</v>
      </c>
      <c r="C55" s="1016">
        <v>225</v>
      </c>
      <c r="D55" s="1030">
        <v>1.4250000000000114</v>
      </c>
      <c r="E55" s="1016" t="s">
        <v>4</v>
      </c>
      <c r="F55" s="1030">
        <v>26.680461919726927</v>
      </c>
      <c r="G55" s="1016" t="s">
        <v>4</v>
      </c>
      <c r="H55" s="1043">
        <v>0</v>
      </c>
      <c r="I55" s="1027">
        <f>SUM(F55*H55)</f>
        <v>0</v>
      </c>
      <c r="J55" s="1041"/>
    </row>
    <row r="56" spans="1:10">
      <c r="A56" s="1031" t="s">
        <v>1467</v>
      </c>
      <c r="C56" s="1016">
        <v>225</v>
      </c>
      <c r="D56" s="1030">
        <v>1.4250000000000114</v>
      </c>
      <c r="E56" s="1016" t="s">
        <v>4</v>
      </c>
      <c r="F56" s="1030">
        <v>25.474768718282817</v>
      </c>
      <c r="G56" s="1016" t="s">
        <v>4</v>
      </c>
      <c r="H56" s="1043">
        <v>0</v>
      </c>
      <c r="I56" s="1027">
        <f>SUM(F56*H56)</f>
        <v>0</v>
      </c>
      <c r="J56" s="1041"/>
    </row>
    <row r="57" spans="1:10">
      <c r="A57" s="1031" t="s">
        <v>1461</v>
      </c>
      <c r="C57" s="1016">
        <v>225</v>
      </c>
      <c r="D57" s="1030">
        <v>1.3875000000000028</v>
      </c>
      <c r="E57" s="1016" t="s">
        <v>4</v>
      </c>
      <c r="F57" s="1030">
        <v>37.810667995289378</v>
      </c>
      <c r="G57" s="1016" t="s">
        <v>4</v>
      </c>
      <c r="H57" s="1043">
        <v>0</v>
      </c>
      <c r="I57" s="1027">
        <f>SUM(F57*H57)</f>
        <v>0</v>
      </c>
      <c r="J57" s="1041"/>
    </row>
    <row r="58" spans="1:10">
      <c r="A58" s="1031" t="s">
        <v>1460</v>
      </c>
      <c r="C58" s="1016">
        <v>225</v>
      </c>
      <c r="D58" s="1030">
        <v>1.5250000000000057</v>
      </c>
      <c r="E58" s="1016" t="s">
        <v>4</v>
      </c>
      <c r="F58" s="1030">
        <v>36.251953230136444</v>
      </c>
      <c r="G58" s="1016" t="s">
        <v>4</v>
      </c>
      <c r="H58" s="1043">
        <v>0</v>
      </c>
      <c r="I58" s="1027">
        <f>SUM(F58*H58)</f>
        <v>0</v>
      </c>
      <c r="J58" s="1041"/>
    </row>
    <row r="59" spans="1:10">
      <c r="A59" s="1031" t="s">
        <v>1452</v>
      </c>
      <c r="C59" s="1016">
        <v>225</v>
      </c>
      <c r="D59" s="1030">
        <v>1.4250000000000114</v>
      </c>
      <c r="E59" s="1016" t="s">
        <v>4</v>
      </c>
      <c r="F59" s="1030">
        <v>25.268148853843602</v>
      </c>
      <c r="G59" s="1016" t="s">
        <v>4</v>
      </c>
      <c r="H59" s="1043">
        <v>0</v>
      </c>
      <c r="I59" s="1027">
        <f>SUM(F59*H59)</f>
        <v>0</v>
      </c>
      <c r="J59" s="1041"/>
    </row>
    <row r="60" spans="1:10">
      <c r="A60" s="1031" t="s">
        <v>1451</v>
      </c>
      <c r="C60" s="1016">
        <v>225</v>
      </c>
      <c r="D60" s="1030">
        <v>1.4625000000000057</v>
      </c>
      <c r="E60" s="1016" t="s">
        <v>4</v>
      </c>
      <c r="F60" s="1030">
        <v>48.893933072008011</v>
      </c>
      <c r="G60" s="1016" t="s">
        <v>4</v>
      </c>
      <c r="H60" s="1043">
        <v>0</v>
      </c>
      <c r="I60" s="1027">
        <f>SUM(F60*H60)</f>
        <v>0</v>
      </c>
      <c r="J60" s="1041"/>
    </row>
    <row r="61" spans="1:10">
      <c r="A61" s="1031" t="s">
        <v>1449</v>
      </c>
      <c r="C61" s="1016">
        <v>225</v>
      </c>
      <c r="D61" s="1030">
        <v>1.3924999999999983</v>
      </c>
      <c r="E61" s="1016" t="s">
        <v>4</v>
      </c>
      <c r="F61" s="1030">
        <v>19.56547165927774</v>
      </c>
      <c r="G61" s="1016" t="s">
        <v>4</v>
      </c>
      <c r="H61" s="1043">
        <v>0</v>
      </c>
      <c r="I61" s="1027">
        <f>SUM(F61*H61)</f>
        <v>0</v>
      </c>
      <c r="J61" s="1041"/>
    </row>
    <row r="62" spans="1:10">
      <c r="A62" s="1031" t="s">
        <v>1448</v>
      </c>
      <c r="C62" s="1016">
        <v>225</v>
      </c>
      <c r="D62" s="1030">
        <v>1.1825000000000045</v>
      </c>
      <c r="E62" s="1016" t="s">
        <v>4</v>
      </c>
      <c r="F62" s="1030">
        <v>53.556496137256794</v>
      </c>
      <c r="G62" s="1016" t="s">
        <v>4</v>
      </c>
      <c r="H62" s="1043">
        <v>0</v>
      </c>
      <c r="I62" s="1027">
        <f>SUM(F62*H62)</f>
        <v>0</v>
      </c>
      <c r="J62" s="1041"/>
    </row>
    <row r="63" spans="1:10">
      <c r="A63" s="1031" t="s">
        <v>1447</v>
      </c>
      <c r="C63" s="1016">
        <v>225</v>
      </c>
      <c r="D63" s="1030">
        <v>1.2275000000000063</v>
      </c>
      <c r="E63" s="1016" t="s">
        <v>4</v>
      </c>
      <c r="F63" s="1030">
        <v>53.800798367682233</v>
      </c>
      <c r="G63" s="1016" t="s">
        <v>4</v>
      </c>
      <c r="H63" s="1043">
        <v>0</v>
      </c>
      <c r="I63" s="1027">
        <f>SUM(F63*H63)</f>
        <v>0</v>
      </c>
      <c r="J63" s="1041"/>
    </row>
    <row r="64" spans="1:10">
      <c r="A64" s="1031" t="s">
        <v>1446</v>
      </c>
      <c r="C64" s="1016">
        <v>225</v>
      </c>
      <c r="D64" s="1030">
        <v>1.4625000000000057</v>
      </c>
      <c r="E64" s="1016" t="s">
        <v>4</v>
      </c>
      <c r="F64" s="1030">
        <v>38.119888280266515</v>
      </c>
      <c r="G64" s="1016" t="s">
        <v>4</v>
      </c>
      <c r="H64" s="1043">
        <v>0</v>
      </c>
      <c r="I64" s="1027">
        <f>SUM(F64*H64)</f>
        <v>0</v>
      </c>
      <c r="J64" s="1041"/>
    </row>
    <row r="65" spans="1:10">
      <c r="A65" s="1031" t="s">
        <v>1443</v>
      </c>
      <c r="C65" s="1016">
        <v>225</v>
      </c>
      <c r="D65" s="1030">
        <v>1.96</v>
      </c>
      <c r="E65" s="1016" t="s">
        <v>4</v>
      </c>
      <c r="F65" s="1030">
        <v>33.716461398699614</v>
      </c>
      <c r="G65" s="1016" t="s">
        <v>4</v>
      </c>
      <c r="H65" s="1043">
        <v>0</v>
      </c>
      <c r="I65" s="1027">
        <f>SUM(F65*H65)</f>
        <v>0</v>
      </c>
      <c r="J65" s="1041"/>
    </row>
    <row r="66" spans="1:10">
      <c r="A66" s="1031" t="s">
        <v>1442</v>
      </c>
      <c r="C66" s="1016">
        <v>225</v>
      </c>
      <c r="D66" s="1030">
        <v>1.96</v>
      </c>
      <c r="E66" s="1016" t="s">
        <v>4</v>
      </c>
      <c r="F66" s="1030">
        <v>29.609986292634439</v>
      </c>
      <c r="G66" s="1016" t="s">
        <v>4</v>
      </c>
      <c r="H66" s="1043">
        <v>0</v>
      </c>
      <c r="I66" s="1027">
        <f>SUM(F66*H66)</f>
        <v>0</v>
      </c>
      <c r="J66" s="1041"/>
    </row>
    <row r="67" spans="1:10">
      <c r="A67" s="1031" t="s">
        <v>1441</v>
      </c>
      <c r="C67" s="1016">
        <v>225</v>
      </c>
      <c r="D67" s="1030">
        <v>1.4250000000000114</v>
      </c>
      <c r="E67" s="1016" t="s">
        <v>4</v>
      </c>
      <c r="F67" s="1030">
        <v>31.630517739992793</v>
      </c>
      <c r="G67" s="1016" t="s">
        <v>4</v>
      </c>
      <c r="H67" s="1043">
        <v>0</v>
      </c>
      <c r="I67" s="1027">
        <f>SUM(F67*H67)</f>
        <v>0</v>
      </c>
      <c r="J67" s="1041"/>
    </row>
    <row r="68" spans="1:10">
      <c r="A68" s="1031" t="s">
        <v>1439</v>
      </c>
      <c r="C68" s="1016">
        <v>225</v>
      </c>
      <c r="D68" s="1030">
        <v>1.5375000000000085</v>
      </c>
      <c r="E68" s="1016" t="s">
        <v>4</v>
      </c>
      <c r="F68" s="1030">
        <v>21.110165146203844</v>
      </c>
      <c r="G68" s="1016" t="s">
        <v>4</v>
      </c>
      <c r="H68" s="1043">
        <v>0</v>
      </c>
      <c r="I68" s="1027">
        <f>SUM(F68*H68)</f>
        <v>0</v>
      </c>
      <c r="J68" s="1041"/>
    </row>
    <row r="69" spans="1:10">
      <c r="A69" s="1031" t="s">
        <v>1430</v>
      </c>
      <c r="C69" s="1016">
        <v>225</v>
      </c>
      <c r="D69" s="1030">
        <v>1.4250000000000114</v>
      </c>
      <c r="E69" s="1016" t="s">
        <v>4</v>
      </c>
      <c r="F69" s="1030">
        <v>36</v>
      </c>
      <c r="G69" s="1016" t="s">
        <v>4</v>
      </c>
      <c r="H69" s="1043">
        <v>0</v>
      </c>
      <c r="I69" s="1027">
        <f>SUM(F69*H69)</f>
        <v>0</v>
      </c>
      <c r="J69" s="1041"/>
    </row>
    <row r="70" spans="1:10">
      <c r="A70" s="1031" t="s">
        <v>1429</v>
      </c>
      <c r="C70" s="1016">
        <v>225</v>
      </c>
      <c r="D70" s="1030">
        <v>1.4249999999999972</v>
      </c>
      <c r="E70" s="1016" t="s">
        <v>4</v>
      </c>
      <c r="F70" s="1030">
        <v>28</v>
      </c>
      <c r="G70" s="1016" t="s">
        <v>4</v>
      </c>
      <c r="H70" s="1043">
        <v>0</v>
      </c>
      <c r="I70" s="1027">
        <f>SUM(F70*H70)</f>
        <v>0</v>
      </c>
      <c r="J70" s="1041"/>
    </row>
    <row r="71" spans="1:10">
      <c r="A71" s="1031" t="s">
        <v>1420</v>
      </c>
      <c r="C71" s="1016">
        <v>225</v>
      </c>
      <c r="D71" s="1030">
        <v>1.8250000000000028</v>
      </c>
      <c r="E71" s="1016" t="s">
        <v>4</v>
      </c>
      <c r="F71" s="1030">
        <v>4.272469221656265</v>
      </c>
      <c r="G71" s="1016" t="s">
        <v>4</v>
      </c>
      <c r="H71" s="1043">
        <v>0</v>
      </c>
      <c r="I71" s="1027">
        <f>SUM(F71*H71)</f>
        <v>0</v>
      </c>
      <c r="J71" s="1042"/>
    </row>
    <row r="72" spans="1:10">
      <c r="A72" s="1017" t="s">
        <v>1529</v>
      </c>
      <c r="C72" s="1016">
        <v>300</v>
      </c>
      <c r="D72" s="1030">
        <v>1.5</v>
      </c>
      <c r="E72" s="1016" t="s">
        <v>4</v>
      </c>
      <c r="F72" s="1030">
        <v>34.5</v>
      </c>
      <c r="G72" s="1016" t="s">
        <v>4</v>
      </c>
      <c r="H72" s="1043">
        <v>0</v>
      </c>
      <c r="I72" s="1027">
        <f>SUM(F72*H72)</f>
        <v>0</v>
      </c>
    </row>
    <row r="73" spans="1:10">
      <c r="A73" s="1017" t="s">
        <v>1495</v>
      </c>
      <c r="C73" s="1016">
        <v>300</v>
      </c>
      <c r="D73" s="1030">
        <v>1.6500000000000028</v>
      </c>
      <c r="E73" s="1016" t="s">
        <v>4</v>
      </c>
      <c r="F73" s="1030">
        <v>13</v>
      </c>
      <c r="G73" s="1016" t="s">
        <v>4</v>
      </c>
      <c r="H73" s="1043">
        <v>0</v>
      </c>
      <c r="I73" s="1027">
        <f>SUM(F73*H73)</f>
        <v>0</v>
      </c>
    </row>
    <row r="74" spans="1:10">
      <c r="A74" s="1017" t="s">
        <v>1491</v>
      </c>
      <c r="C74" s="1016">
        <v>300</v>
      </c>
      <c r="D74" s="1030">
        <v>1.484499999999997</v>
      </c>
      <c r="E74" s="1016" t="s">
        <v>4</v>
      </c>
      <c r="F74" s="1030">
        <v>17.5</v>
      </c>
      <c r="G74" s="1016" t="s">
        <v>4</v>
      </c>
      <c r="H74" s="1043">
        <v>0</v>
      </c>
      <c r="I74" s="1027">
        <f>SUM(F74*H74)</f>
        <v>0</v>
      </c>
    </row>
    <row r="75" spans="1:10">
      <c r="A75" s="1017" t="s">
        <v>1490</v>
      </c>
      <c r="C75" s="1016">
        <v>300</v>
      </c>
      <c r="D75" s="1030">
        <v>1.9029999999999916</v>
      </c>
      <c r="E75" s="1016" t="s">
        <v>4</v>
      </c>
      <c r="F75" s="1030">
        <v>9.5</v>
      </c>
      <c r="G75" s="1016" t="s">
        <v>4</v>
      </c>
      <c r="H75" s="1043">
        <v>0</v>
      </c>
      <c r="I75" s="1027">
        <f>SUM(F75*H75)</f>
        <v>0</v>
      </c>
    </row>
    <row r="76" spans="1:10">
      <c r="A76" s="1017" t="s">
        <v>1489</v>
      </c>
      <c r="C76" s="1016">
        <v>300</v>
      </c>
      <c r="D76" s="1030">
        <v>2.0529999999999973</v>
      </c>
      <c r="E76" s="1016" t="s">
        <v>4</v>
      </c>
      <c r="F76" s="1030">
        <v>11</v>
      </c>
      <c r="G76" s="1016" t="s">
        <v>4</v>
      </c>
      <c r="H76" s="1043">
        <v>0</v>
      </c>
      <c r="I76" s="1027">
        <f>SUM(F76*H76)</f>
        <v>0</v>
      </c>
    </row>
    <row r="77" spans="1:10">
      <c r="A77" s="1017" t="s">
        <v>1488</v>
      </c>
      <c r="C77" s="1016">
        <v>300</v>
      </c>
      <c r="D77" s="1030">
        <v>2.3914999999999935</v>
      </c>
      <c r="E77" s="1016" t="s">
        <v>4</v>
      </c>
      <c r="F77" s="1030">
        <v>65.5</v>
      </c>
      <c r="G77" s="1016" t="s">
        <v>4</v>
      </c>
      <c r="H77" s="1043">
        <v>0</v>
      </c>
      <c r="I77" s="1027">
        <f>SUM(F77*H77)</f>
        <v>0</v>
      </c>
    </row>
    <row r="78" spans="1:10">
      <c r="A78" s="1017" t="s">
        <v>1486</v>
      </c>
      <c r="C78" s="1016">
        <v>300</v>
      </c>
      <c r="D78" s="1030">
        <v>2.3914999999999935</v>
      </c>
      <c r="E78" s="1016" t="s">
        <v>4</v>
      </c>
      <c r="F78" s="1030">
        <v>15.5</v>
      </c>
      <c r="G78" s="1016" t="s">
        <v>4</v>
      </c>
      <c r="H78" s="1043">
        <v>0</v>
      </c>
      <c r="I78" s="1027">
        <f>SUM(F78*H78)</f>
        <v>0</v>
      </c>
    </row>
    <row r="79" spans="1:10">
      <c r="A79" s="1017" t="s">
        <v>1481</v>
      </c>
      <c r="C79" s="1016">
        <v>300</v>
      </c>
      <c r="D79" s="1030">
        <v>1.5</v>
      </c>
      <c r="E79" s="1016" t="s">
        <v>4</v>
      </c>
      <c r="F79" s="1030">
        <v>49.450028485836093</v>
      </c>
      <c r="G79" s="1016" t="s">
        <v>4</v>
      </c>
      <c r="H79" s="1043">
        <v>0</v>
      </c>
      <c r="I79" s="1027">
        <f>SUM(F79*H79)</f>
        <v>0</v>
      </c>
    </row>
    <row r="80" spans="1:10">
      <c r="A80" s="1017" t="s">
        <v>1480</v>
      </c>
      <c r="C80" s="1016">
        <v>300</v>
      </c>
      <c r="D80" s="1030">
        <v>1.5</v>
      </c>
      <c r="E80" s="1016" t="s">
        <v>4</v>
      </c>
      <c r="F80" s="1030">
        <v>36.594840961534437</v>
      </c>
      <c r="G80" s="1016" t="s">
        <v>4</v>
      </c>
      <c r="H80" s="1043">
        <v>0</v>
      </c>
      <c r="I80" s="1027">
        <f>SUM(F80*H80)</f>
        <v>0</v>
      </c>
    </row>
    <row r="81" spans="1:10">
      <c r="A81" s="1017" t="s">
        <v>1477</v>
      </c>
      <c r="C81" s="1016">
        <v>300</v>
      </c>
      <c r="D81" s="1030">
        <v>1.5</v>
      </c>
      <c r="E81" s="1016" t="s">
        <v>4</v>
      </c>
      <c r="F81" s="1030">
        <v>52.735771109371271</v>
      </c>
      <c r="G81" s="1016" t="s">
        <v>4</v>
      </c>
      <c r="H81" s="1043">
        <v>0</v>
      </c>
      <c r="I81" s="1027">
        <f>SUM(F81*H81)</f>
        <v>0</v>
      </c>
    </row>
    <row r="82" spans="1:10">
      <c r="A82" s="1017" t="s">
        <v>1476</v>
      </c>
      <c r="C82" s="1016">
        <v>300</v>
      </c>
      <c r="D82" s="1030">
        <v>1.5750000000000028</v>
      </c>
      <c r="E82" s="1016" t="s">
        <v>4</v>
      </c>
      <c r="F82" s="1030">
        <v>53.633749435406791</v>
      </c>
      <c r="G82" s="1016" t="s">
        <v>4</v>
      </c>
      <c r="H82" s="1043">
        <v>0</v>
      </c>
      <c r="I82" s="1027">
        <f>SUM(F82*H82)</f>
        <v>0</v>
      </c>
    </row>
    <row r="83" spans="1:10">
      <c r="A83" s="1031" t="s">
        <v>1465</v>
      </c>
      <c r="C83" s="1016">
        <v>300</v>
      </c>
      <c r="D83" s="1030">
        <v>1.5</v>
      </c>
      <c r="E83" s="1016" t="s">
        <v>4</v>
      </c>
      <c r="F83" s="1030">
        <v>23.783799911914819</v>
      </c>
      <c r="G83" s="1016" t="s">
        <v>4</v>
      </c>
      <c r="H83" s="1043">
        <v>0</v>
      </c>
      <c r="I83" s="1027">
        <f>SUM(F83*H83)</f>
        <v>0</v>
      </c>
      <c r="J83" s="1041"/>
    </row>
    <row r="84" spans="1:10">
      <c r="A84" s="1031" t="s">
        <v>1459</v>
      </c>
      <c r="C84" s="1016">
        <v>300</v>
      </c>
      <c r="D84" s="1030">
        <v>1.75</v>
      </c>
      <c r="E84" s="1016" t="s">
        <v>4</v>
      </c>
      <c r="F84" s="1030">
        <v>19.555141421119934</v>
      </c>
      <c r="G84" s="1016" t="s">
        <v>4</v>
      </c>
      <c r="H84" s="1043">
        <v>0</v>
      </c>
      <c r="I84" s="1027">
        <f>SUM(F84*H84)</f>
        <v>0</v>
      </c>
      <c r="J84" s="1041"/>
    </row>
    <row r="85" spans="1:10">
      <c r="A85" s="1031" t="s">
        <v>1458</v>
      </c>
      <c r="C85" s="1016">
        <v>300</v>
      </c>
      <c r="D85" s="1030">
        <v>1.6499999999999915</v>
      </c>
      <c r="E85" s="1016" t="s">
        <v>4</v>
      </c>
      <c r="F85" s="1030">
        <v>24.534110606459748</v>
      </c>
      <c r="G85" s="1016" t="s">
        <v>4</v>
      </c>
      <c r="H85" s="1043">
        <v>0</v>
      </c>
      <c r="I85" s="1027">
        <f>SUM(F85*H85)</f>
        <v>0</v>
      </c>
      <c r="J85" s="1041"/>
    </row>
    <row r="86" spans="1:10">
      <c r="A86" s="1031" t="s">
        <v>1456</v>
      </c>
      <c r="C86" s="1016">
        <v>300</v>
      </c>
      <c r="D86" s="1030">
        <v>1.5</v>
      </c>
      <c r="E86" s="1016" t="s">
        <v>4</v>
      </c>
      <c r="F86" s="1030">
        <v>35.492799906087015</v>
      </c>
      <c r="G86" s="1016" t="s">
        <v>4</v>
      </c>
      <c r="H86" s="1043">
        <v>0</v>
      </c>
      <c r="I86" s="1027">
        <f>SUM(F86*H86)</f>
        <v>0</v>
      </c>
      <c r="J86" s="1041"/>
    </row>
    <row r="87" spans="1:10">
      <c r="A87" s="1031" t="s">
        <v>1455</v>
      </c>
      <c r="C87" s="1016">
        <v>300</v>
      </c>
      <c r="D87" s="1030">
        <v>1.5005000000000024</v>
      </c>
      <c r="E87" s="1016" t="s">
        <v>4</v>
      </c>
      <c r="F87" s="1030">
        <v>30.486944353280112</v>
      </c>
      <c r="G87" s="1016" t="s">
        <v>4</v>
      </c>
      <c r="H87" s="1043">
        <v>0</v>
      </c>
      <c r="I87" s="1027">
        <f>SUM(F87*H87)</f>
        <v>0</v>
      </c>
      <c r="J87" s="1041"/>
    </row>
    <row r="88" spans="1:10">
      <c r="A88" s="1031" t="s">
        <v>1445</v>
      </c>
      <c r="C88" s="1016">
        <v>300</v>
      </c>
      <c r="D88" s="1030">
        <v>1.5</v>
      </c>
      <c r="E88" s="1016" t="s">
        <v>4</v>
      </c>
      <c r="F88" s="1030">
        <v>19.920073951920969</v>
      </c>
      <c r="G88" s="1016" t="s">
        <v>4</v>
      </c>
      <c r="H88" s="1043">
        <v>0</v>
      </c>
      <c r="I88" s="1027">
        <f>SUM(F88*H88)</f>
        <v>0</v>
      </c>
      <c r="J88" s="1042"/>
    </row>
    <row r="89" spans="1:10">
      <c r="A89" s="1031" t="s">
        <v>1444</v>
      </c>
      <c r="C89" s="1016">
        <v>300</v>
      </c>
      <c r="D89" s="1030">
        <v>1.5375000000000085</v>
      </c>
      <c r="E89" s="1016" t="s">
        <v>4</v>
      </c>
      <c r="F89" s="1030">
        <v>19.600161185561696</v>
      </c>
      <c r="G89" s="1016" t="s">
        <v>4</v>
      </c>
      <c r="H89" s="1043">
        <v>0</v>
      </c>
      <c r="I89" s="1027">
        <f>SUM(F89*H89)</f>
        <v>0</v>
      </c>
      <c r="J89" s="1042"/>
    </row>
    <row r="90" spans="1:10">
      <c r="A90" s="1031" t="s">
        <v>1438</v>
      </c>
      <c r="C90" s="1016">
        <v>300</v>
      </c>
      <c r="D90" s="1030">
        <v>1.5749999999999886</v>
      </c>
      <c r="E90" s="1016" t="s">
        <v>4</v>
      </c>
      <c r="F90" s="1030">
        <v>24.252295324360514</v>
      </c>
      <c r="G90" s="1016" t="s">
        <v>4</v>
      </c>
      <c r="H90" s="1043">
        <v>0</v>
      </c>
      <c r="I90" s="1027">
        <f>SUM(F90*H90)</f>
        <v>0</v>
      </c>
      <c r="J90" s="1041"/>
    </row>
    <row r="91" spans="1:10">
      <c r="A91" s="1031" t="s">
        <v>1434</v>
      </c>
      <c r="C91" s="1016">
        <v>300</v>
      </c>
      <c r="D91" s="1030">
        <v>2.0590000000000117</v>
      </c>
      <c r="E91" s="1016" t="s">
        <v>4</v>
      </c>
      <c r="F91" s="1030">
        <v>7.7986049072894792</v>
      </c>
      <c r="G91" s="1016" t="s">
        <v>4</v>
      </c>
      <c r="H91" s="1043">
        <v>0</v>
      </c>
      <c r="I91" s="1027">
        <f>SUM(F91*H91)</f>
        <v>0</v>
      </c>
      <c r="J91" s="1041"/>
    </row>
    <row r="92" spans="1:10">
      <c r="A92" s="1031" t="s">
        <v>1433</v>
      </c>
      <c r="C92" s="1016">
        <v>300</v>
      </c>
      <c r="D92" s="1030">
        <v>2.3190000000000026</v>
      </c>
      <c r="E92" s="1016" t="s">
        <v>4</v>
      </c>
      <c r="F92" s="1030">
        <v>6.0704889835992546</v>
      </c>
      <c r="G92" s="1016" t="s">
        <v>4</v>
      </c>
      <c r="H92" s="1043">
        <v>0</v>
      </c>
      <c r="I92" s="1027">
        <f>SUM(F92*H92)</f>
        <v>0</v>
      </c>
      <c r="J92" s="1041"/>
    </row>
    <row r="93" spans="1:10">
      <c r="A93" s="1031" t="s">
        <v>1432</v>
      </c>
      <c r="C93" s="1016">
        <v>300</v>
      </c>
      <c r="D93" s="1030">
        <v>2.1610000000000014</v>
      </c>
      <c r="E93" s="1016" t="s">
        <v>4</v>
      </c>
      <c r="F93" s="1030">
        <v>9.8829968759481304</v>
      </c>
      <c r="G93" s="1016" t="s">
        <v>4</v>
      </c>
      <c r="H93" s="1043">
        <v>0</v>
      </c>
      <c r="I93" s="1027">
        <f>SUM(F93*H93)</f>
        <v>0</v>
      </c>
      <c r="J93" s="1041"/>
    </row>
    <row r="94" spans="1:10">
      <c r="A94" s="1031" t="s">
        <v>1431</v>
      </c>
      <c r="C94" s="1016">
        <v>300</v>
      </c>
      <c r="D94" s="1030">
        <v>1.7905000000000086</v>
      </c>
      <c r="E94" s="1016" t="s">
        <v>4</v>
      </c>
      <c r="F94" s="1030">
        <v>11.027919840114912</v>
      </c>
      <c r="G94" s="1016" t="s">
        <v>4</v>
      </c>
      <c r="H94" s="1043">
        <v>0</v>
      </c>
      <c r="I94" s="1027">
        <f>SUM(F94*H94)</f>
        <v>0</v>
      </c>
      <c r="J94" s="1041"/>
    </row>
    <row r="95" spans="1:10">
      <c r="A95" s="1031" t="s">
        <v>1427</v>
      </c>
      <c r="C95" s="1016">
        <v>300</v>
      </c>
      <c r="D95" s="1030">
        <v>1.4865000000000066</v>
      </c>
      <c r="E95" s="1016" t="s">
        <v>4</v>
      </c>
      <c r="F95" s="1030">
        <v>23</v>
      </c>
      <c r="G95" s="1016" t="s">
        <v>4</v>
      </c>
      <c r="H95" s="1043">
        <v>0</v>
      </c>
      <c r="I95" s="1027">
        <f>SUM(F95*H95)</f>
        <v>0</v>
      </c>
      <c r="J95" s="1041"/>
    </row>
    <row r="96" spans="1:10">
      <c r="A96" s="1031" t="s">
        <v>1425</v>
      </c>
      <c r="C96" s="1016">
        <v>300</v>
      </c>
      <c r="D96" s="1030">
        <v>1.6865000000000094</v>
      </c>
      <c r="E96" s="1016" t="s">
        <v>4</v>
      </c>
      <c r="F96" s="1030">
        <v>22</v>
      </c>
      <c r="G96" s="1016" t="s">
        <v>4</v>
      </c>
      <c r="H96" s="1043">
        <v>0</v>
      </c>
      <c r="I96" s="1027">
        <f>SUM(F96*H96)</f>
        <v>0</v>
      </c>
      <c r="J96" s="1041"/>
    </row>
    <row r="97" spans="1:10">
      <c r="A97" s="1031" t="s">
        <v>1424</v>
      </c>
      <c r="C97" s="1016">
        <v>300</v>
      </c>
      <c r="D97" s="1030">
        <v>1.3875000000000028</v>
      </c>
      <c r="E97" s="1016" t="s">
        <v>4</v>
      </c>
      <c r="F97" s="1030">
        <v>13.555340940013275</v>
      </c>
      <c r="G97" s="1016" t="s">
        <v>4</v>
      </c>
      <c r="H97" s="1043">
        <v>0</v>
      </c>
      <c r="I97" s="1025">
        <f>SUM(F97*H97)</f>
        <v>0</v>
      </c>
      <c r="J97" s="1041"/>
    </row>
    <row r="98" spans="1:10">
      <c r="A98" s="1031" t="s">
        <v>1423</v>
      </c>
      <c r="C98" s="1016">
        <v>300</v>
      </c>
      <c r="D98" s="1030">
        <v>1.3580000000000041</v>
      </c>
      <c r="E98" s="1016" t="s">
        <v>4</v>
      </c>
      <c r="F98" s="1030">
        <v>15</v>
      </c>
      <c r="G98" s="1016" t="s">
        <v>4</v>
      </c>
      <c r="H98" s="1043">
        <v>0</v>
      </c>
      <c r="I98" s="1025">
        <f>SUM(F98*H98)</f>
        <v>0</v>
      </c>
      <c r="J98" s="1041"/>
    </row>
    <row r="99" spans="1:10">
      <c r="A99" s="1017" t="s">
        <v>1519</v>
      </c>
      <c r="C99" s="1016">
        <v>375</v>
      </c>
      <c r="D99" s="1030">
        <v>1.6775000000000091</v>
      </c>
      <c r="E99" s="1016" t="s">
        <v>4</v>
      </c>
      <c r="F99" s="1030">
        <v>17.5</v>
      </c>
      <c r="G99" s="1016" t="s">
        <v>4</v>
      </c>
      <c r="H99" s="1043">
        <v>0</v>
      </c>
      <c r="I99" s="1027">
        <f>SUM(F99*H99)</f>
        <v>0</v>
      </c>
    </row>
    <row r="100" spans="1:10">
      <c r="A100" s="1017" t="s">
        <v>1518</v>
      </c>
      <c r="C100" s="1016">
        <v>375</v>
      </c>
      <c r="D100" s="1030">
        <v>1.5750000000000086</v>
      </c>
      <c r="E100" s="1016" t="s">
        <v>4</v>
      </c>
      <c r="F100" s="1030">
        <v>22</v>
      </c>
      <c r="G100" s="1016" t="s">
        <v>4</v>
      </c>
      <c r="H100" s="1043">
        <v>0</v>
      </c>
      <c r="I100" s="1027">
        <f>SUM(F100*H100)</f>
        <v>0</v>
      </c>
    </row>
    <row r="101" spans="1:10">
      <c r="A101" s="1017" t="s">
        <v>1479</v>
      </c>
      <c r="C101" s="1016">
        <v>375</v>
      </c>
      <c r="D101" s="1030">
        <v>1.5499999999999972</v>
      </c>
      <c r="E101" s="1016" t="s">
        <v>4</v>
      </c>
      <c r="F101" s="1030">
        <v>19.200569496762334</v>
      </c>
      <c r="G101" s="1016" t="s">
        <v>4</v>
      </c>
      <c r="H101" s="1043">
        <v>0</v>
      </c>
      <c r="I101" s="1027">
        <f>SUM(F101*H101)</f>
        <v>0</v>
      </c>
    </row>
    <row r="102" spans="1:10">
      <c r="A102" s="1031" t="s">
        <v>1474</v>
      </c>
      <c r="C102" s="1016">
        <v>375</v>
      </c>
      <c r="D102" s="1030">
        <v>2.0090000000000003</v>
      </c>
      <c r="E102" s="1016" t="s">
        <v>4</v>
      </c>
      <c r="F102" s="1030">
        <v>11.5</v>
      </c>
      <c r="G102" s="1016" t="s">
        <v>4</v>
      </c>
      <c r="H102" s="1043">
        <v>0</v>
      </c>
      <c r="I102" s="1027">
        <f>SUM(F102*H102)</f>
        <v>0</v>
      </c>
      <c r="J102" s="1041"/>
    </row>
    <row r="103" spans="1:10">
      <c r="A103" s="1031" t="s">
        <v>1464</v>
      </c>
      <c r="C103" s="1016">
        <v>375</v>
      </c>
      <c r="D103" s="1030">
        <v>1.6124999999999972</v>
      </c>
      <c r="E103" s="1016" t="s">
        <v>4</v>
      </c>
      <c r="F103" s="1030">
        <v>24.92883633966898</v>
      </c>
      <c r="G103" s="1016" t="s">
        <v>4</v>
      </c>
      <c r="H103" s="1043">
        <v>0</v>
      </c>
      <c r="I103" s="1027">
        <f>SUM(F103*H103)</f>
        <v>0</v>
      </c>
      <c r="J103" s="1041"/>
    </row>
    <row r="104" spans="1:10">
      <c r="A104" s="1031" t="s">
        <v>1440</v>
      </c>
      <c r="C104" s="1016">
        <v>375</v>
      </c>
      <c r="D104" s="1030">
        <v>1.6125000000000114</v>
      </c>
      <c r="E104" s="1016" t="s">
        <v>4</v>
      </c>
      <c r="F104" s="1030">
        <v>24.811071807763597</v>
      </c>
      <c r="G104" s="1016" t="s">
        <v>4</v>
      </c>
      <c r="H104" s="1043">
        <v>0</v>
      </c>
      <c r="I104" s="1027">
        <f>SUM(F104*H104)</f>
        <v>0</v>
      </c>
      <c r="J104" s="1041"/>
    </row>
    <row r="105" spans="1:10">
      <c r="A105" s="1031" t="s">
        <v>1426</v>
      </c>
      <c r="C105" s="1016">
        <v>375</v>
      </c>
      <c r="D105" s="1030">
        <v>1.3165000000000049</v>
      </c>
      <c r="E105" s="1016" t="s">
        <v>4</v>
      </c>
      <c r="F105" s="1030">
        <v>11.306137182963935</v>
      </c>
      <c r="G105" s="1016" t="s">
        <v>4</v>
      </c>
      <c r="H105" s="1043">
        <v>0</v>
      </c>
      <c r="I105" s="1027">
        <f>SUM(F105*H105)</f>
        <v>0</v>
      </c>
      <c r="J105" s="1042"/>
    </row>
    <row r="106" spans="1:10">
      <c r="A106" s="1031" t="s">
        <v>1418</v>
      </c>
      <c r="C106" s="1016">
        <v>375</v>
      </c>
      <c r="D106" s="1030">
        <v>1.659000000000006</v>
      </c>
      <c r="E106" s="1016" t="s">
        <v>4</v>
      </c>
      <c r="F106" s="1030">
        <v>7.4013408582499531</v>
      </c>
      <c r="G106" s="1016" t="s">
        <v>4</v>
      </c>
      <c r="H106" s="1043">
        <v>0</v>
      </c>
      <c r="I106" s="1027">
        <f>SUM(F106*H106)</f>
        <v>0</v>
      </c>
      <c r="J106" s="1042"/>
    </row>
    <row r="107" spans="1:10">
      <c r="A107" s="1017" t="s">
        <v>1514</v>
      </c>
      <c r="C107" s="1016">
        <v>450</v>
      </c>
      <c r="D107" s="1030">
        <v>1.6125000000000029</v>
      </c>
      <c r="E107" s="1016" t="s">
        <v>4</v>
      </c>
      <c r="F107" s="1030">
        <v>19</v>
      </c>
      <c r="G107" s="1016" t="s">
        <v>4</v>
      </c>
      <c r="H107" s="1043">
        <v>0</v>
      </c>
      <c r="I107" s="1027">
        <f>SUM(F107*H107)</f>
        <v>0</v>
      </c>
    </row>
    <row r="108" spans="1:10">
      <c r="A108" s="1017" t="s">
        <v>1511</v>
      </c>
      <c r="C108" s="1016">
        <v>450</v>
      </c>
      <c r="D108" s="1030">
        <v>1.6875</v>
      </c>
      <c r="E108" s="1016" t="s">
        <v>4</v>
      </c>
      <c r="F108" s="1030">
        <v>27</v>
      </c>
      <c r="G108" s="1016" t="s">
        <v>4</v>
      </c>
      <c r="H108" s="1043">
        <v>0</v>
      </c>
      <c r="I108" s="1027">
        <f>SUM(F108*H108)</f>
        <v>0</v>
      </c>
    </row>
    <row r="109" spans="1:10">
      <c r="A109" s="1017" t="s">
        <v>1494</v>
      </c>
      <c r="C109" s="1016">
        <v>450</v>
      </c>
      <c r="D109" s="1030">
        <v>1.5004999999999995</v>
      </c>
      <c r="E109" s="1016" t="s">
        <v>4</v>
      </c>
      <c r="F109" s="1030">
        <v>11</v>
      </c>
      <c r="G109" s="1016" t="s">
        <v>4</v>
      </c>
      <c r="H109" s="1043">
        <v>0</v>
      </c>
      <c r="I109" s="1027">
        <f>SUM(F109*H109)</f>
        <v>0</v>
      </c>
    </row>
    <row r="110" spans="1:10">
      <c r="A110" s="1017" t="s">
        <v>1493</v>
      </c>
      <c r="C110" s="1016">
        <v>450</v>
      </c>
      <c r="D110" s="1030">
        <v>1.3569999999999993</v>
      </c>
      <c r="E110" s="1016" t="s">
        <v>4</v>
      </c>
      <c r="F110" s="1030">
        <v>6</v>
      </c>
      <c r="G110" s="1016" t="s">
        <v>4</v>
      </c>
      <c r="H110" s="1043">
        <v>0</v>
      </c>
      <c r="I110" s="1027">
        <f>SUM(F110*H110)</f>
        <v>0</v>
      </c>
    </row>
    <row r="111" spans="1:10">
      <c r="A111" s="1031" t="s">
        <v>1473</v>
      </c>
      <c r="C111" s="1016">
        <v>450</v>
      </c>
      <c r="D111" s="1030">
        <v>1.8250000000000028</v>
      </c>
      <c r="E111" s="1016" t="s">
        <v>4</v>
      </c>
      <c r="F111" s="1030">
        <v>18.428151575782085</v>
      </c>
      <c r="G111" s="1016" t="s">
        <v>4</v>
      </c>
      <c r="H111" s="1043">
        <v>0</v>
      </c>
      <c r="I111" s="1027">
        <f>SUM(F111*H111)</f>
        <v>0</v>
      </c>
      <c r="J111" s="1041"/>
    </row>
    <row r="112" spans="1:10">
      <c r="A112" s="1031" t="s">
        <v>1437</v>
      </c>
      <c r="C112" s="1016">
        <v>450</v>
      </c>
      <c r="D112" s="1030">
        <v>1.6499999999999915</v>
      </c>
      <c r="E112" s="1016" t="s">
        <v>4</v>
      </c>
      <c r="F112" s="1030">
        <v>59.172629538495208</v>
      </c>
      <c r="G112" s="1016" t="s">
        <v>4</v>
      </c>
      <c r="H112" s="1043">
        <v>0</v>
      </c>
      <c r="I112" s="1027">
        <f>SUM(F112*H112)</f>
        <v>0</v>
      </c>
      <c r="J112" s="1041"/>
    </row>
    <row r="113" spans="1:10">
      <c r="A113" s="1031" t="s">
        <v>1436</v>
      </c>
      <c r="C113" s="1016">
        <v>450</v>
      </c>
      <c r="D113" s="1030">
        <v>1.7249999999999943</v>
      </c>
      <c r="E113" s="1016" t="s">
        <v>4</v>
      </c>
      <c r="F113" s="1030">
        <v>36.912359989575336</v>
      </c>
      <c r="G113" s="1016" t="s">
        <v>4</v>
      </c>
      <c r="H113" s="1043">
        <v>0</v>
      </c>
      <c r="I113" s="1027">
        <f>SUM(F113*H113)</f>
        <v>0</v>
      </c>
      <c r="J113" s="1041"/>
    </row>
    <row r="114" spans="1:10">
      <c r="A114" s="1017" t="s">
        <v>1508</v>
      </c>
      <c r="C114" s="1016">
        <v>525</v>
      </c>
      <c r="D114" s="1030">
        <v>1.7624999999999886</v>
      </c>
      <c r="E114" s="1016" t="s">
        <v>4</v>
      </c>
      <c r="F114" s="1030">
        <v>49.5</v>
      </c>
      <c r="G114" s="1016" t="s">
        <v>4</v>
      </c>
      <c r="H114" s="1043">
        <v>0</v>
      </c>
      <c r="I114" s="1027">
        <f>SUM(F114*H114)</f>
        <v>0</v>
      </c>
    </row>
    <row r="115" spans="1:10">
      <c r="A115" s="1017" t="s">
        <v>1492</v>
      </c>
      <c r="C115" s="1016">
        <v>525</v>
      </c>
      <c r="D115" s="1030">
        <v>2.1800000000000068</v>
      </c>
      <c r="E115" s="1016" t="s">
        <v>4</v>
      </c>
      <c r="F115" s="1030">
        <v>73.5</v>
      </c>
      <c r="G115" s="1016" t="s">
        <v>4</v>
      </c>
      <c r="H115" s="1043">
        <v>0</v>
      </c>
      <c r="I115" s="1027">
        <f>SUM(F115*H115)</f>
        <v>0</v>
      </c>
    </row>
    <row r="116" spans="1:10">
      <c r="A116" s="1017" t="s">
        <v>1507</v>
      </c>
      <c r="C116" s="1016">
        <v>600</v>
      </c>
      <c r="D116" s="1030">
        <v>1.9499999999999886</v>
      </c>
      <c r="E116" s="1016" t="s">
        <v>4</v>
      </c>
      <c r="F116" s="1030">
        <v>11.5</v>
      </c>
      <c r="G116" s="1016" t="s">
        <v>4</v>
      </c>
      <c r="H116" s="1043">
        <v>0</v>
      </c>
      <c r="I116" s="1027">
        <f>SUM(F116*H116)</f>
        <v>0</v>
      </c>
    </row>
    <row r="117" spans="1:10">
      <c r="A117" s="1031" t="s">
        <v>1435</v>
      </c>
      <c r="C117" s="1016">
        <v>600</v>
      </c>
      <c r="D117" s="1030">
        <v>1.9000000000000057</v>
      </c>
      <c r="E117" s="1016" t="s">
        <v>4</v>
      </c>
      <c r="F117" s="1030">
        <v>31.831068792926207</v>
      </c>
      <c r="G117" s="1016" t="s">
        <v>4</v>
      </c>
      <c r="H117" s="1043">
        <v>0</v>
      </c>
      <c r="I117" s="1027">
        <f>SUM(F117*H117)</f>
        <v>0</v>
      </c>
      <c r="J117" s="1041"/>
    </row>
    <row r="118" spans="1:10">
      <c r="A118" s="1031" t="s">
        <v>1428</v>
      </c>
      <c r="C118" s="1016">
        <v>600</v>
      </c>
      <c r="D118" s="1030">
        <v>1.9620000000000033</v>
      </c>
      <c r="E118" s="1016" t="s">
        <v>4</v>
      </c>
      <c r="F118" s="1030">
        <v>13</v>
      </c>
      <c r="G118" s="1016" t="s">
        <v>4</v>
      </c>
      <c r="H118" s="1043">
        <v>0</v>
      </c>
      <c r="I118" s="1027">
        <f>SUM(F118*H118)</f>
        <v>0</v>
      </c>
      <c r="J118" s="1041"/>
    </row>
    <row r="119" spans="1:10">
      <c r="A119" s="1031" t="s">
        <v>1422</v>
      </c>
      <c r="C119" s="1016">
        <v>600</v>
      </c>
      <c r="D119" s="1030">
        <v>2.2749999999999915</v>
      </c>
      <c r="E119" s="1016" t="s">
        <v>4</v>
      </c>
      <c r="F119" s="1030">
        <v>11.5</v>
      </c>
      <c r="G119" s="1016" t="s">
        <v>4</v>
      </c>
      <c r="H119" s="1043">
        <v>0</v>
      </c>
      <c r="I119" s="1025">
        <f>SUM(F119*H119)</f>
        <v>0</v>
      </c>
      <c r="J119" s="1041"/>
    </row>
    <row r="120" spans="1:10">
      <c r="A120" s="1031" t="s">
        <v>1421</v>
      </c>
      <c r="C120" s="1016">
        <v>600</v>
      </c>
      <c r="D120" s="1030">
        <v>1.7819999999999965</v>
      </c>
      <c r="E120" s="1016" t="s">
        <v>4</v>
      </c>
      <c r="F120" s="1030">
        <v>6</v>
      </c>
      <c r="G120" s="1016" t="s">
        <v>4</v>
      </c>
      <c r="H120" s="1043">
        <v>0</v>
      </c>
      <c r="I120" s="1027">
        <f>SUM(F120*H120)</f>
        <v>0</v>
      </c>
      <c r="J120" s="1042"/>
    </row>
    <row r="121" spans="1:10">
      <c r="A121" s="1031" t="s">
        <v>1419</v>
      </c>
      <c r="C121" s="1016">
        <v>600</v>
      </c>
      <c r="D121" s="1030">
        <v>1.7595000000000027</v>
      </c>
      <c r="E121" s="1016" t="s">
        <v>4</v>
      </c>
      <c r="F121" s="1030">
        <v>5.5</v>
      </c>
      <c r="G121" s="1016" t="s">
        <v>4</v>
      </c>
      <c r="H121" s="1043">
        <v>0</v>
      </c>
      <c r="I121" s="1027">
        <f>SUM(F121*H121)</f>
        <v>0</v>
      </c>
      <c r="J121" s="1042"/>
    </row>
    <row r="122" spans="1:10">
      <c r="A122" s="1031" t="s">
        <v>1417</v>
      </c>
      <c r="C122" s="1016">
        <v>600</v>
      </c>
      <c r="D122" s="1030">
        <v>2.6000000000000085</v>
      </c>
      <c r="E122" s="1016" t="s">
        <v>4</v>
      </c>
      <c r="F122" s="1030">
        <v>16.588553561115589</v>
      </c>
      <c r="G122" s="1016" t="s">
        <v>4</v>
      </c>
      <c r="H122" s="1043">
        <v>0</v>
      </c>
      <c r="I122" s="1027">
        <f>SUM(F122*H122)</f>
        <v>0</v>
      </c>
      <c r="J122" s="1042"/>
    </row>
    <row r="123" spans="1:10">
      <c r="A123" s="1017" t="s">
        <v>1487</v>
      </c>
      <c r="C123" s="1016">
        <v>1200</v>
      </c>
      <c r="D123" s="1030">
        <v>2.8189999999999884</v>
      </c>
      <c r="E123" s="1016" t="s">
        <v>4</v>
      </c>
      <c r="F123" s="1030">
        <v>16</v>
      </c>
      <c r="G123" s="1016" t="s">
        <v>4</v>
      </c>
      <c r="H123" s="1043">
        <v>0</v>
      </c>
      <c r="I123" s="1027">
        <f>SUM(F123*H123)</f>
        <v>0</v>
      </c>
    </row>
    <row r="124" spans="1:10">
      <c r="A124" s="1031"/>
      <c r="C124" s="1016"/>
      <c r="D124" s="1030"/>
      <c r="E124" s="1016"/>
      <c r="F124" s="1030"/>
      <c r="G124" s="1016"/>
      <c r="H124" s="1029"/>
      <c r="I124" s="1027"/>
      <c r="J124" s="1042"/>
    </row>
    <row r="125" spans="1:10">
      <c r="A125" s="1017" t="s">
        <v>1207</v>
      </c>
      <c r="C125" s="1016">
        <v>1200</v>
      </c>
      <c r="D125" s="1030"/>
      <c r="E125" s="1016"/>
      <c r="F125" s="1016">
        <v>2</v>
      </c>
      <c r="G125" s="1016" t="s">
        <v>16</v>
      </c>
      <c r="H125" s="1029">
        <v>0</v>
      </c>
      <c r="I125" s="1025">
        <f t="shared" ref="I125:I132" si="0">SUM(F125*H125)</f>
        <v>0</v>
      </c>
      <c r="J125" s="1041"/>
    </row>
    <row r="126" spans="1:10">
      <c r="A126" s="1017" t="s">
        <v>1207</v>
      </c>
      <c r="C126" s="1016">
        <v>600</v>
      </c>
      <c r="D126" s="1016"/>
      <c r="E126" s="1016"/>
      <c r="F126" s="1016">
        <v>14</v>
      </c>
      <c r="G126" s="1016" t="s">
        <v>16</v>
      </c>
      <c r="H126" s="1029">
        <v>0</v>
      </c>
      <c r="I126" s="1025">
        <f t="shared" si="0"/>
        <v>0</v>
      </c>
      <c r="J126" s="1041"/>
    </row>
    <row r="127" spans="1:10">
      <c r="A127" s="1017" t="s">
        <v>1207</v>
      </c>
      <c r="C127" s="1016">
        <v>525</v>
      </c>
      <c r="D127" s="1016"/>
      <c r="E127" s="1016"/>
      <c r="F127" s="1016">
        <v>4</v>
      </c>
      <c r="G127" s="1016" t="s">
        <v>16</v>
      </c>
      <c r="H127" s="1029">
        <v>0</v>
      </c>
      <c r="I127" s="1025">
        <f t="shared" si="0"/>
        <v>0</v>
      </c>
      <c r="J127" s="1041"/>
    </row>
    <row r="128" spans="1:10">
      <c r="A128" s="1017" t="s">
        <v>1207</v>
      </c>
      <c r="C128" s="1016">
        <v>450</v>
      </c>
      <c r="D128" s="1016"/>
      <c r="E128" s="1016"/>
      <c r="F128" s="1016">
        <v>14</v>
      </c>
      <c r="G128" s="1016" t="s">
        <v>16</v>
      </c>
      <c r="H128" s="1029">
        <v>0</v>
      </c>
      <c r="I128" s="1025">
        <f t="shared" si="0"/>
        <v>0</v>
      </c>
      <c r="J128" s="1041"/>
    </row>
    <row r="129" spans="1:10">
      <c r="A129" s="1017" t="s">
        <v>1207</v>
      </c>
      <c r="C129" s="1016">
        <v>375</v>
      </c>
      <c r="D129" s="1016"/>
      <c r="E129" s="1016"/>
      <c r="F129" s="1016">
        <v>16</v>
      </c>
      <c r="G129" s="1016" t="s">
        <v>16</v>
      </c>
      <c r="H129" s="1029">
        <v>0</v>
      </c>
      <c r="I129" s="1025">
        <f t="shared" si="0"/>
        <v>0</v>
      </c>
      <c r="J129" s="1041"/>
    </row>
    <row r="130" spans="1:10">
      <c r="A130" s="1017" t="s">
        <v>1207</v>
      </c>
      <c r="C130" s="1016">
        <v>300</v>
      </c>
      <c r="D130" s="1016"/>
      <c r="E130" s="1016"/>
      <c r="F130" s="1016">
        <v>54</v>
      </c>
      <c r="G130" s="1016" t="s">
        <v>16</v>
      </c>
      <c r="H130" s="1029">
        <v>0</v>
      </c>
      <c r="I130" s="1025">
        <f t="shared" si="0"/>
        <v>0</v>
      </c>
      <c r="J130" s="1041"/>
    </row>
    <row r="131" spans="1:10">
      <c r="A131" s="1017" t="s">
        <v>1207</v>
      </c>
      <c r="C131" s="1016">
        <v>225</v>
      </c>
      <c r="D131" s="1016"/>
      <c r="E131" s="1016"/>
      <c r="F131" s="1016">
        <v>102</v>
      </c>
      <c r="G131" s="1016" t="s">
        <v>16</v>
      </c>
      <c r="H131" s="1029">
        <v>0</v>
      </c>
      <c r="I131" s="1025">
        <f t="shared" si="0"/>
        <v>0</v>
      </c>
      <c r="J131" s="1041"/>
    </row>
    <row r="132" spans="1:10">
      <c r="A132" s="1017" t="s">
        <v>1207</v>
      </c>
      <c r="C132" s="1016">
        <v>150</v>
      </c>
      <c r="D132" s="1016"/>
      <c r="E132" s="1016"/>
      <c r="F132" s="1016">
        <v>24</v>
      </c>
      <c r="G132" s="1016" t="s">
        <v>16</v>
      </c>
      <c r="H132" s="1029">
        <v>0</v>
      </c>
      <c r="I132" s="1025">
        <f t="shared" si="0"/>
        <v>0</v>
      </c>
      <c r="J132" s="1041"/>
    </row>
    <row r="133" spans="1:10">
      <c r="A133" s="1017"/>
      <c r="C133" s="1016"/>
      <c r="D133" s="1016"/>
      <c r="E133" s="1016"/>
      <c r="F133" s="1016"/>
      <c r="G133" s="1016"/>
      <c r="H133" s="1016"/>
      <c r="I133" s="1021"/>
    </row>
    <row r="134" spans="1:10" ht="13" thickBot="1">
      <c r="A134" s="1017"/>
      <c r="C134" s="1016"/>
      <c r="D134" s="1016"/>
      <c r="E134" s="1016"/>
      <c r="F134" s="1016"/>
      <c r="G134" s="1016"/>
      <c r="H134" s="1016"/>
      <c r="I134" s="1024">
        <f>SUM(I9:I133)</f>
        <v>0</v>
      </c>
    </row>
    <row r="135" spans="1:10" ht="13" thickTop="1">
      <c r="A135" s="1017"/>
      <c r="C135" s="1016"/>
      <c r="D135" s="1016"/>
      <c r="E135" s="1016"/>
      <c r="F135" s="1016"/>
      <c r="G135" s="1016"/>
      <c r="H135" s="1016"/>
      <c r="I135" s="1021"/>
    </row>
    <row r="136" spans="1:10">
      <c r="A136" s="1028" t="s">
        <v>1416</v>
      </c>
      <c r="C136" s="1016" t="s">
        <v>139</v>
      </c>
      <c r="D136" s="1016" t="s">
        <v>37</v>
      </c>
      <c r="E136" s="1016"/>
      <c r="F136" s="1016" t="s">
        <v>16</v>
      </c>
      <c r="G136" s="1016" t="s">
        <v>5</v>
      </c>
      <c r="H136" s="1016" t="s">
        <v>2</v>
      </c>
      <c r="I136" s="1021" t="s">
        <v>1205</v>
      </c>
    </row>
    <row r="137" spans="1:10">
      <c r="A137" s="1017"/>
      <c r="C137" s="1016"/>
      <c r="D137" s="1016"/>
      <c r="E137" s="1016"/>
      <c r="F137" s="1016"/>
      <c r="G137" s="1016"/>
      <c r="H137" s="1016"/>
      <c r="I137" s="1021"/>
    </row>
    <row r="138" spans="1:10">
      <c r="A138" s="1017" t="s">
        <v>558</v>
      </c>
      <c r="C138" s="1016">
        <v>1200</v>
      </c>
      <c r="D138" s="1030">
        <v>1.4250000000000114</v>
      </c>
      <c r="E138" s="1016" t="s">
        <v>4</v>
      </c>
      <c r="F138" s="1016">
        <v>1</v>
      </c>
      <c r="G138" s="1016" t="s">
        <v>16</v>
      </c>
      <c r="H138" s="1040">
        <v>0</v>
      </c>
      <c r="I138" s="1027">
        <f>SUM(F138*H138)</f>
        <v>0</v>
      </c>
    </row>
    <row r="139" spans="1:10">
      <c r="A139" s="1017" t="s">
        <v>559</v>
      </c>
      <c r="C139" s="1016">
        <v>1200</v>
      </c>
      <c r="D139" s="1030">
        <v>1.4250000000000114</v>
      </c>
      <c r="E139" s="1016" t="s">
        <v>4</v>
      </c>
      <c r="F139" s="1016">
        <v>1</v>
      </c>
      <c r="G139" s="1016" t="s">
        <v>16</v>
      </c>
      <c r="H139" s="1040">
        <v>0</v>
      </c>
      <c r="I139" s="1027">
        <f>SUM(F139*H139)</f>
        <v>0</v>
      </c>
    </row>
    <row r="140" spans="1:10">
      <c r="A140" s="1017" t="s">
        <v>560</v>
      </c>
      <c r="C140" s="1016">
        <v>1200</v>
      </c>
      <c r="D140" s="1030">
        <v>1.5</v>
      </c>
      <c r="E140" s="1016" t="s">
        <v>4</v>
      </c>
      <c r="F140" s="1016">
        <v>1</v>
      </c>
      <c r="G140" s="1016" t="s">
        <v>16</v>
      </c>
      <c r="H140" s="1040">
        <v>0</v>
      </c>
      <c r="I140" s="1027">
        <f>SUM(F140*H140)</f>
        <v>0</v>
      </c>
    </row>
    <row r="141" spans="1:10">
      <c r="A141" s="1017" t="s">
        <v>561</v>
      </c>
      <c r="C141" s="1016">
        <v>1200</v>
      </c>
      <c r="D141" s="1030">
        <v>1.5</v>
      </c>
      <c r="E141" s="1016" t="s">
        <v>4</v>
      </c>
      <c r="F141" s="1016">
        <v>1</v>
      </c>
      <c r="G141" s="1016" t="s">
        <v>16</v>
      </c>
      <c r="H141" s="1040">
        <v>0</v>
      </c>
      <c r="I141" s="1027">
        <f>SUM(F141*H141)</f>
        <v>0</v>
      </c>
    </row>
    <row r="142" spans="1:10">
      <c r="A142" s="1017" t="s">
        <v>555</v>
      </c>
      <c r="C142" s="1016">
        <v>1200</v>
      </c>
      <c r="D142" s="1030">
        <v>1.3500000000000227</v>
      </c>
      <c r="E142" s="1016" t="s">
        <v>4</v>
      </c>
      <c r="F142" s="1016">
        <v>1</v>
      </c>
      <c r="G142" s="1016" t="s">
        <v>16</v>
      </c>
      <c r="H142" s="1040">
        <v>0</v>
      </c>
      <c r="I142" s="1027">
        <f>SUM(F142*H142)</f>
        <v>0</v>
      </c>
    </row>
    <row r="143" spans="1:10">
      <c r="A143" s="1017" t="s">
        <v>556</v>
      </c>
      <c r="C143" s="1016">
        <v>1200</v>
      </c>
      <c r="D143" s="1030">
        <v>1.3499999999999943</v>
      </c>
      <c r="E143" s="1016" t="s">
        <v>4</v>
      </c>
      <c r="F143" s="1016">
        <v>1</v>
      </c>
      <c r="G143" s="1016" t="s">
        <v>16</v>
      </c>
      <c r="H143" s="1040">
        <v>0</v>
      </c>
      <c r="I143" s="1027">
        <f>SUM(F143*H143)</f>
        <v>0</v>
      </c>
    </row>
    <row r="144" spans="1:10">
      <c r="A144" s="1017" t="s">
        <v>557</v>
      </c>
      <c r="C144" s="1016">
        <v>1200</v>
      </c>
      <c r="D144" s="1030">
        <v>3.1500000000000057</v>
      </c>
      <c r="E144" s="1016" t="s">
        <v>4</v>
      </c>
      <c r="F144" s="1016">
        <v>1</v>
      </c>
      <c r="G144" s="1016" t="s">
        <v>16</v>
      </c>
      <c r="H144" s="1040">
        <v>0</v>
      </c>
      <c r="I144" s="1027">
        <f>SUM(F144*H144)</f>
        <v>0</v>
      </c>
    </row>
    <row r="145" spans="1:9">
      <c r="A145" s="1017" t="s">
        <v>551</v>
      </c>
      <c r="C145" s="1016">
        <v>1200</v>
      </c>
      <c r="D145" s="1030">
        <v>2.4000000000000057</v>
      </c>
      <c r="E145" s="1016" t="s">
        <v>4</v>
      </c>
      <c r="F145" s="1016">
        <v>1</v>
      </c>
      <c r="G145" s="1016" t="s">
        <v>16</v>
      </c>
      <c r="H145" s="1040">
        <v>0</v>
      </c>
      <c r="I145" s="1027">
        <f>SUM(F145*H145)</f>
        <v>0</v>
      </c>
    </row>
    <row r="146" spans="1:9">
      <c r="A146" s="1017" t="s">
        <v>540</v>
      </c>
      <c r="C146" s="1016">
        <v>1200</v>
      </c>
      <c r="D146" s="1030">
        <v>1.4250000000000114</v>
      </c>
      <c r="E146" s="1016" t="s">
        <v>4</v>
      </c>
      <c r="F146" s="1016">
        <v>1</v>
      </c>
      <c r="G146" s="1016" t="s">
        <v>16</v>
      </c>
      <c r="H146" s="1040">
        <v>0</v>
      </c>
      <c r="I146" s="1027">
        <f>SUM(F146*H146)</f>
        <v>0</v>
      </c>
    </row>
    <row r="147" spans="1:9">
      <c r="A147" s="1017" t="s">
        <v>1415</v>
      </c>
      <c r="C147" s="1016">
        <v>1200</v>
      </c>
      <c r="D147" s="1030">
        <v>1.5</v>
      </c>
      <c r="E147" s="1016" t="s">
        <v>4</v>
      </c>
      <c r="F147" s="1016">
        <v>1</v>
      </c>
      <c r="G147" s="1016" t="s">
        <v>16</v>
      </c>
      <c r="H147" s="1040">
        <v>0</v>
      </c>
      <c r="I147" s="1027">
        <f>SUM(F147*H147)</f>
        <v>0</v>
      </c>
    </row>
    <row r="148" spans="1:9">
      <c r="A148" s="1017" t="s">
        <v>1414</v>
      </c>
      <c r="C148" s="1016">
        <v>1200</v>
      </c>
      <c r="D148" s="1030">
        <v>1.5</v>
      </c>
      <c r="E148" s="1016" t="s">
        <v>4</v>
      </c>
      <c r="F148" s="1016">
        <v>1</v>
      </c>
      <c r="G148" s="1016" t="s">
        <v>16</v>
      </c>
      <c r="H148" s="1040">
        <v>0</v>
      </c>
      <c r="I148" s="1027">
        <f>SUM(F148*H148)</f>
        <v>0</v>
      </c>
    </row>
    <row r="149" spans="1:9">
      <c r="A149" s="1017" t="s">
        <v>1413</v>
      </c>
      <c r="C149" s="1016">
        <v>1200</v>
      </c>
      <c r="D149" s="1030">
        <v>1.4250000000000114</v>
      </c>
      <c r="E149" s="1016" t="s">
        <v>4</v>
      </c>
      <c r="F149" s="1016">
        <v>1</v>
      </c>
      <c r="G149" s="1016" t="s">
        <v>16</v>
      </c>
      <c r="H149" s="1040">
        <v>0</v>
      </c>
      <c r="I149" s="1027">
        <f>SUM(F149*H149)</f>
        <v>0</v>
      </c>
    </row>
    <row r="150" spans="1:9">
      <c r="A150" s="1017" t="s">
        <v>1412</v>
      </c>
      <c r="C150" s="1016">
        <v>1200</v>
      </c>
      <c r="D150" s="1030">
        <v>1.4249999999999829</v>
      </c>
      <c r="E150" s="1016" t="s">
        <v>4</v>
      </c>
      <c r="F150" s="1016">
        <v>1</v>
      </c>
      <c r="G150" s="1016" t="s">
        <v>16</v>
      </c>
      <c r="H150" s="1040">
        <v>0</v>
      </c>
      <c r="I150" s="1027">
        <f>SUM(F150*H150)</f>
        <v>0</v>
      </c>
    </row>
    <row r="151" spans="1:9">
      <c r="A151" s="1017" t="s">
        <v>1408</v>
      </c>
      <c r="C151" s="1016">
        <v>1200</v>
      </c>
      <c r="D151" s="1030">
        <v>1.4250000000000114</v>
      </c>
      <c r="E151" s="1016" t="s">
        <v>4</v>
      </c>
      <c r="F151" s="1016">
        <v>1</v>
      </c>
      <c r="G151" s="1016" t="s">
        <v>16</v>
      </c>
      <c r="H151" s="1040">
        <v>0</v>
      </c>
      <c r="I151" s="1027">
        <f>SUM(F151*H151)</f>
        <v>0</v>
      </c>
    </row>
    <row r="152" spans="1:9">
      <c r="A152" s="1017" t="s">
        <v>1407</v>
      </c>
      <c r="C152" s="1016">
        <v>1200</v>
      </c>
      <c r="D152" s="1030">
        <v>1.4250000000000114</v>
      </c>
      <c r="E152" s="1016" t="s">
        <v>4</v>
      </c>
      <c r="F152" s="1016">
        <v>1</v>
      </c>
      <c r="G152" s="1016" t="s">
        <v>16</v>
      </c>
      <c r="H152" s="1040">
        <v>0</v>
      </c>
      <c r="I152" s="1027">
        <f>SUM(F152*H152)</f>
        <v>0</v>
      </c>
    </row>
    <row r="153" spans="1:9">
      <c r="A153" s="1017" t="s">
        <v>1406</v>
      </c>
      <c r="C153" s="1016">
        <v>1200</v>
      </c>
      <c r="D153" s="1030">
        <v>1.4250000000000114</v>
      </c>
      <c r="E153" s="1016" t="s">
        <v>4</v>
      </c>
      <c r="F153" s="1016">
        <v>1</v>
      </c>
      <c r="G153" s="1016" t="s">
        <v>16</v>
      </c>
      <c r="H153" s="1040">
        <v>0</v>
      </c>
      <c r="I153" s="1027">
        <f>SUM(F153*H153)</f>
        <v>0</v>
      </c>
    </row>
    <row r="154" spans="1:9">
      <c r="A154" s="1017" t="s">
        <v>1404</v>
      </c>
      <c r="C154" s="1016">
        <v>1200</v>
      </c>
      <c r="D154" s="1030">
        <v>1.4250000000000114</v>
      </c>
      <c r="E154" s="1016" t="s">
        <v>4</v>
      </c>
      <c r="F154" s="1016">
        <v>1</v>
      </c>
      <c r="G154" s="1016" t="s">
        <v>16</v>
      </c>
      <c r="H154" s="1040">
        <v>0</v>
      </c>
      <c r="I154" s="1027">
        <f>SUM(F154*H154)</f>
        <v>0</v>
      </c>
    </row>
    <row r="155" spans="1:9">
      <c r="A155" s="1017" t="s">
        <v>1403</v>
      </c>
      <c r="C155" s="1016">
        <v>1200</v>
      </c>
      <c r="D155" s="1030">
        <v>1.4250000000000114</v>
      </c>
      <c r="E155" s="1016" t="s">
        <v>4</v>
      </c>
      <c r="F155" s="1016">
        <v>1</v>
      </c>
      <c r="G155" s="1016" t="s">
        <v>16</v>
      </c>
      <c r="H155" s="1040">
        <v>0</v>
      </c>
      <c r="I155" s="1027">
        <f>SUM(F155*H155)</f>
        <v>0</v>
      </c>
    </row>
    <row r="156" spans="1:9">
      <c r="A156" s="1017" t="s">
        <v>1401</v>
      </c>
      <c r="C156" s="1016">
        <v>1200</v>
      </c>
      <c r="D156" s="1030">
        <v>1.4250000000000114</v>
      </c>
      <c r="E156" s="1016" t="s">
        <v>4</v>
      </c>
      <c r="F156" s="1016">
        <v>1</v>
      </c>
      <c r="G156" s="1016" t="s">
        <v>16</v>
      </c>
      <c r="H156" s="1040">
        <v>0</v>
      </c>
      <c r="I156" s="1027">
        <f>SUM(F156*H156)</f>
        <v>0</v>
      </c>
    </row>
    <row r="157" spans="1:9">
      <c r="A157" s="1017" t="s">
        <v>1398</v>
      </c>
      <c r="C157" s="1016">
        <v>1200</v>
      </c>
      <c r="D157" s="1030">
        <v>1.4250000000000114</v>
      </c>
      <c r="E157" s="1016" t="s">
        <v>4</v>
      </c>
      <c r="F157" s="1016">
        <v>1</v>
      </c>
      <c r="G157" s="1016" t="s">
        <v>16</v>
      </c>
      <c r="H157" s="1040">
        <v>0</v>
      </c>
      <c r="I157" s="1027">
        <f>SUM(F157*H157)</f>
        <v>0</v>
      </c>
    </row>
    <row r="158" spans="1:9">
      <c r="A158" s="1017" t="s">
        <v>1397</v>
      </c>
      <c r="C158" s="1016">
        <v>1200</v>
      </c>
      <c r="D158" s="1030">
        <v>1.4250000000000114</v>
      </c>
      <c r="E158" s="1016" t="s">
        <v>4</v>
      </c>
      <c r="F158" s="1016">
        <v>1</v>
      </c>
      <c r="G158" s="1016" t="s">
        <v>16</v>
      </c>
      <c r="H158" s="1040">
        <v>0</v>
      </c>
      <c r="I158" s="1027">
        <f>SUM(F158*H158)</f>
        <v>0</v>
      </c>
    </row>
    <row r="159" spans="1:9">
      <c r="A159" s="1017" t="s">
        <v>1396</v>
      </c>
      <c r="C159" s="1016">
        <v>1200</v>
      </c>
      <c r="D159" s="1030">
        <v>1.4249999999999829</v>
      </c>
      <c r="E159" s="1016" t="s">
        <v>4</v>
      </c>
      <c r="F159" s="1016">
        <v>1</v>
      </c>
      <c r="G159" s="1016" t="s">
        <v>16</v>
      </c>
      <c r="H159" s="1040">
        <v>0</v>
      </c>
      <c r="I159" s="1027">
        <f>SUM(F159*H159)</f>
        <v>0</v>
      </c>
    </row>
    <row r="160" spans="1:9">
      <c r="A160" s="1017" t="s">
        <v>1395</v>
      </c>
      <c r="C160" s="1016">
        <v>1200</v>
      </c>
      <c r="D160" s="1030">
        <v>1.4259999999999877</v>
      </c>
      <c r="E160" s="1016" t="s">
        <v>4</v>
      </c>
      <c r="F160" s="1016">
        <v>1</v>
      </c>
      <c r="G160" s="1016" t="s">
        <v>16</v>
      </c>
      <c r="H160" s="1040">
        <v>0</v>
      </c>
      <c r="I160" s="1027">
        <f>SUM(F160*H160)</f>
        <v>0</v>
      </c>
    </row>
    <row r="161" spans="1:9">
      <c r="A161" s="1017" t="s">
        <v>1394</v>
      </c>
      <c r="C161" s="1016">
        <v>1200</v>
      </c>
      <c r="D161" s="1030">
        <v>1.921999999999997</v>
      </c>
      <c r="E161" s="1016" t="s">
        <v>4</v>
      </c>
      <c r="F161" s="1016">
        <v>1</v>
      </c>
      <c r="G161" s="1016" t="s">
        <v>16</v>
      </c>
      <c r="H161" s="1040">
        <v>0</v>
      </c>
      <c r="I161" s="1027">
        <f>SUM(F161*H161)</f>
        <v>0</v>
      </c>
    </row>
    <row r="162" spans="1:9">
      <c r="A162" s="1017" t="s">
        <v>1393</v>
      </c>
      <c r="C162" s="1016">
        <v>1200</v>
      </c>
      <c r="D162" s="1030">
        <v>2.0369999999999777</v>
      </c>
      <c r="E162" s="1016" t="s">
        <v>4</v>
      </c>
      <c r="F162" s="1016">
        <v>1</v>
      </c>
      <c r="G162" s="1016" t="s">
        <v>16</v>
      </c>
      <c r="H162" s="1040">
        <v>0</v>
      </c>
      <c r="I162" s="1027">
        <f>SUM(F162*H162)</f>
        <v>0</v>
      </c>
    </row>
    <row r="163" spans="1:9">
      <c r="A163" s="1017" t="s">
        <v>1392</v>
      </c>
      <c r="C163" s="1016">
        <v>1200</v>
      </c>
      <c r="D163" s="1030">
        <v>1.67</v>
      </c>
      <c r="E163" s="1016" t="s">
        <v>4</v>
      </c>
      <c r="F163" s="1016">
        <v>1</v>
      </c>
      <c r="G163" s="1016" t="s">
        <v>16</v>
      </c>
      <c r="H163" s="1040">
        <v>0</v>
      </c>
      <c r="I163" s="1027">
        <f>SUM(F163*H163)</f>
        <v>0</v>
      </c>
    </row>
    <row r="164" spans="1:9">
      <c r="A164" s="1017" t="s">
        <v>1391</v>
      </c>
      <c r="C164" s="1016">
        <v>1200</v>
      </c>
      <c r="D164" s="1030">
        <v>1.4250000000000114</v>
      </c>
      <c r="E164" s="1016" t="s">
        <v>4</v>
      </c>
      <c r="F164" s="1016">
        <v>1</v>
      </c>
      <c r="G164" s="1016" t="s">
        <v>16</v>
      </c>
      <c r="H164" s="1040">
        <v>0</v>
      </c>
      <c r="I164" s="1027">
        <f>SUM(F164*H164)</f>
        <v>0</v>
      </c>
    </row>
    <row r="165" spans="1:9">
      <c r="A165" s="1017" t="s">
        <v>1390</v>
      </c>
      <c r="C165" s="1016">
        <v>1200</v>
      </c>
      <c r="D165" s="1030">
        <v>1.4250000000000114</v>
      </c>
      <c r="E165" s="1016" t="s">
        <v>4</v>
      </c>
      <c r="F165" s="1016">
        <v>1</v>
      </c>
      <c r="G165" s="1016" t="s">
        <v>16</v>
      </c>
      <c r="H165" s="1040">
        <v>0</v>
      </c>
      <c r="I165" s="1027">
        <f>SUM(F165*H165)</f>
        <v>0</v>
      </c>
    </row>
    <row r="166" spans="1:9">
      <c r="A166" s="1017" t="s">
        <v>1389</v>
      </c>
      <c r="C166" s="1016">
        <v>1200</v>
      </c>
      <c r="D166" s="1030">
        <v>1.4250000000000114</v>
      </c>
      <c r="E166" s="1016" t="s">
        <v>4</v>
      </c>
      <c r="F166" s="1016">
        <v>1</v>
      </c>
      <c r="G166" s="1016" t="s">
        <v>16</v>
      </c>
      <c r="H166" s="1040">
        <v>0</v>
      </c>
      <c r="I166" s="1027">
        <f>SUM(F166*H166)</f>
        <v>0</v>
      </c>
    </row>
    <row r="167" spans="1:9">
      <c r="A167" s="1017" t="s">
        <v>1388</v>
      </c>
      <c r="C167" s="1016">
        <v>1200</v>
      </c>
      <c r="D167" s="1030">
        <v>1.4200000000000159</v>
      </c>
      <c r="E167" s="1016" t="s">
        <v>4</v>
      </c>
      <c r="F167" s="1016">
        <v>1</v>
      </c>
      <c r="G167" s="1016" t="s">
        <v>16</v>
      </c>
      <c r="H167" s="1040">
        <v>0</v>
      </c>
      <c r="I167" s="1027">
        <f>SUM(F167*H167)</f>
        <v>0</v>
      </c>
    </row>
    <row r="168" spans="1:9">
      <c r="A168" s="1017" t="s">
        <v>1387</v>
      </c>
      <c r="C168" s="1016">
        <v>1200</v>
      </c>
      <c r="D168" s="1030">
        <v>1.6500000000000057</v>
      </c>
      <c r="E168" s="1016" t="s">
        <v>4</v>
      </c>
      <c r="F168" s="1016">
        <v>1</v>
      </c>
      <c r="G168" s="1016" t="s">
        <v>16</v>
      </c>
      <c r="H168" s="1040">
        <v>0</v>
      </c>
      <c r="I168" s="1027">
        <f>SUM(F168*H168)</f>
        <v>0</v>
      </c>
    </row>
    <row r="169" spans="1:9">
      <c r="A169" s="1017" t="s">
        <v>1383</v>
      </c>
      <c r="C169" s="1016">
        <v>1200</v>
      </c>
      <c r="D169" s="1030">
        <v>1.4250000000000114</v>
      </c>
      <c r="E169" s="1016" t="s">
        <v>4</v>
      </c>
      <c r="F169" s="1016">
        <v>1</v>
      </c>
      <c r="G169" s="1016" t="s">
        <v>16</v>
      </c>
      <c r="H169" s="1040">
        <v>0</v>
      </c>
      <c r="I169" s="1027">
        <f>SUM(F169*H169)</f>
        <v>0</v>
      </c>
    </row>
    <row r="170" spans="1:9">
      <c r="A170" s="1017" t="s">
        <v>1381</v>
      </c>
      <c r="C170" s="1016">
        <v>1200</v>
      </c>
      <c r="D170" s="1030">
        <v>1.9</v>
      </c>
      <c r="E170" s="1016" t="s">
        <v>4</v>
      </c>
      <c r="F170" s="1016">
        <v>1</v>
      </c>
      <c r="G170" s="1016" t="s">
        <v>16</v>
      </c>
      <c r="H170" s="1040">
        <v>0</v>
      </c>
      <c r="I170" s="1027">
        <f>SUM(F170*H170)</f>
        <v>0</v>
      </c>
    </row>
    <row r="171" spans="1:9">
      <c r="A171" s="1017" t="s">
        <v>1380</v>
      </c>
      <c r="C171" s="1016">
        <v>1200</v>
      </c>
      <c r="D171" s="1030">
        <v>2.6059999999999945</v>
      </c>
      <c r="E171" s="1016" t="s">
        <v>4</v>
      </c>
      <c r="F171" s="1016">
        <v>1</v>
      </c>
      <c r="G171" s="1016" t="s">
        <v>16</v>
      </c>
      <c r="H171" s="1040">
        <v>0</v>
      </c>
      <c r="I171" s="1027">
        <f>SUM(F171*H171)</f>
        <v>0</v>
      </c>
    </row>
    <row r="172" spans="1:9">
      <c r="A172" s="1017" t="s">
        <v>1379</v>
      </c>
      <c r="C172" s="1016">
        <v>1200</v>
      </c>
      <c r="D172" s="1030">
        <v>1.5</v>
      </c>
      <c r="E172" s="1016" t="s">
        <v>4</v>
      </c>
      <c r="F172" s="1016">
        <v>1</v>
      </c>
      <c r="G172" s="1016" t="s">
        <v>16</v>
      </c>
      <c r="H172" s="1040">
        <v>0</v>
      </c>
      <c r="I172" s="1027">
        <f>SUM(F172*H172)</f>
        <v>0</v>
      </c>
    </row>
    <row r="173" spans="1:9">
      <c r="A173" s="1017" t="s">
        <v>1376</v>
      </c>
      <c r="C173" s="1016">
        <v>1200</v>
      </c>
      <c r="D173" s="1030">
        <v>2.0250000000000057</v>
      </c>
      <c r="E173" s="1016" t="s">
        <v>4</v>
      </c>
      <c r="F173" s="1016">
        <v>1</v>
      </c>
      <c r="G173" s="1016" t="s">
        <v>16</v>
      </c>
      <c r="H173" s="1040">
        <v>0</v>
      </c>
      <c r="I173" s="1027">
        <f>SUM(F173*H173)</f>
        <v>0</v>
      </c>
    </row>
    <row r="174" spans="1:9">
      <c r="A174" s="1017" t="s">
        <v>1375</v>
      </c>
      <c r="C174" s="1016">
        <v>1200</v>
      </c>
      <c r="D174" s="1030">
        <v>1.4249999999999829</v>
      </c>
      <c r="E174" s="1016" t="s">
        <v>4</v>
      </c>
      <c r="F174" s="1016">
        <v>1</v>
      </c>
      <c r="G174" s="1016" t="s">
        <v>16</v>
      </c>
      <c r="H174" s="1040">
        <v>0</v>
      </c>
      <c r="I174" s="1027">
        <f>SUM(F174*H174)</f>
        <v>0</v>
      </c>
    </row>
    <row r="175" spans="1:9">
      <c r="A175" s="1017" t="s">
        <v>1374</v>
      </c>
      <c r="C175" s="1016">
        <v>1200</v>
      </c>
      <c r="D175" s="1030">
        <v>1.4250000000000114</v>
      </c>
      <c r="E175" s="1016" t="s">
        <v>4</v>
      </c>
      <c r="F175" s="1016">
        <v>1</v>
      </c>
      <c r="G175" s="1016" t="s">
        <v>16</v>
      </c>
      <c r="H175" s="1040">
        <v>0</v>
      </c>
      <c r="I175" s="1027">
        <f>SUM(F175*H175)</f>
        <v>0</v>
      </c>
    </row>
    <row r="176" spans="1:9">
      <c r="A176" s="1017" t="s">
        <v>1373</v>
      </c>
      <c r="C176" s="1016">
        <v>1200</v>
      </c>
      <c r="D176" s="1030">
        <v>1.4250000000000114</v>
      </c>
      <c r="E176" s="1016" t="s">
        <v>4</v>
      </c>
      <c r="F176" s="1016">
        <v>1</v>
      </c>
      <c r="G176" s="1016" t="s">
        <v>16</v>
      </c>
      <c r="H176" s="1040">
        <v>0</v>
      </c>
      <c r="I176" s="1027">
        <f>SUM(F176*H176)</f>
        <v>0</v>
      </c>
    </row>
    <row r="177" spans="1:9">
      <c r="A177" s="1017" t="s">
        <v>1372</v>
      </c>
      <c r="C177" s="1016">
        <v>1200</v>
      </c>
      <c r="D177" s="1030">
        <v>1.5</v>
      </c>
      <c r="E177" s="1016" t="s">
        <v>4</v>
      </c>
      <c r="F177" s="1016">
        <v>1</v>
      </c>
      <c r="G177" s="1016" t="s">
        <v>16</v>
      </c>
      <c r="H177" s="1040">
        <v>0</v>
      </c>
      <c r="I177" s="1027">
        <f>SUM(F177*H177)</f>
        <v>0</v>
      </c>
    </row>
    <row r="178" spans="1:9">
      <c r="A178" s="1017" t="s">
        <v>1371</v>
      </c>
      <c r="C178" s="1016">
        <v>1200</v>
      </c>
      <c r="D178" s="1030">
        <v>1.5</v>
      </c>
      <c r="E178" s="1016" t="s">
        <v>4</v>
      </c>
      <c r="F178" s="1016">
        <v>1</v>
      </c>
      <c r="G178" s="1016" t="s">
        <v>16</v>
      </c>
      <c r="H178" s="1040">
        <v>0</v>
      </c>
      <c r="I178" s="1027">
        <f>SUM(F178*H178)</f>
        <v>0</v>
      </c>
    </row>
    <row r="179" spans="1:9">
      <c r="A179" s="1031" t="s">
        <v>1368</v>
      </c>
      <c r="C179" s="1016">
        <v>1200</v>
      </c>
      <c r="D179" s="1030">
        <v>1.3500000000000227</v>
      </c>
      <c r="E179" s="1016" t="s">
        <v>4</v>
      </c>
      <c r="F179" s="1016">
        <v>1</v>
      </c>
      <c r="G179" s="1016" t="s">
        <v>16</v>
      </c>
      <c r="H179" s="1040">
        <v>0</v>
      </c>
      <c r="I179" s="1027">
        <f>SUM(F179*H179)</f>
        <v>0</v>
      </c>
    </row>
    <row r="180" spans="1:9">
      <c r="A180" s="1031" t="s">
        <v>1367</v>
      </c>
      <c r="C180" s="1016">
        <v>1200</v>
      </c>
      <c r="D180" s="1030">
        <v>1.5</v>
      </c>
      <c r="E180" s="1016" t="s">
        <v>4</v>
      </c>
      <c r="F180" s="1016">
        <v>1</v>
      </c>
      <c r="G180" s="1016" t="s">
        <v>16</v>
      </c>
      <c r="H180" s="1040">
        <v>0</v>
      </c>
      <c r="I180" s="1027">
        <f>SUM(F180*H180)</f>
        <v>0</v>
      </c>
    </row>
    <row r="181" spans="1:9">
      <c r="A181" s="1031" t="s">
        <v>1366</v>
      </c>
      <c r="C181" s="1016">
        <v>1200</v>
      </c>
      <c r="D181" s="1030">
        <v>1.5</v>
      </c>
      <c r="E181" s="1016" t="s">
        <v>4</v>
      </c>
      <c r="F181" s="1016">
        <v>1</v>
      </c>
      <c r="G181" s="1016" t="s">
        <v>16</v>
      </c>
      <c r="H181" s="1040">
        <v>0</v>
      </c>
      <c r="I181" s="1027">
        <f>SUM(F181*H181)</f>
        <v>0</v>
      </c>
    </row>
    <row r="182" spans="1:9">
      <c r="A182" s="1031" t="s">
        <v>1363</v>
      </c>
      <c r="C182" s="1016">
        <v>1200</v>
      </c>
      <c r="D182" s="1030">
        <v>1.4499999999999886</v>
      </c>
      <c r="E182" s="1016" t="s">
        <v>4</v>
      </c>
      <c r="F182" s="1016">
        <v>1</v>
      </c>
      <c r="G182" s="1016" t="s">
        <v>16</v>
      </c>
      <c r="H182" s="1040">
        <v>0</v>
      </c>
      <c r="I182" s="1027">
        <f>SUM(F182*H182)</f>
        <v>0</v>
      </c>
    </row>
    <row r="183" spans="1:9">
      <c r="A183" s="1031" t="s">
        <v>1362</v>
      </c>
      <c r="C183" s="1016">
        <v>1200</v>
      </c>
      <c r="D183" s="1030">
        <v>1.4249999999999829</v>
      </c>
      <c r="E183" s="1016" t="s">
        <v>4</v>
      </c>
      <c r="F183" s="1016">
        <v>1</v>
      </c>
      <c r="G183" s="1016" t="s">
        <v>16</v>
      </c>
      <c r="H183" s="1040">
        <v>0</v>
      </c>
      <c r="I183" s="1027">
        <f>SUM(F183*H183)</f>
        <v>0</v>
      </c>
    </row>
    <row r="184" spans="1:9">
      <c r="A184" s="1031" t="s">
        <v>1361</v>
      </c>
      <c r="C184" s="1016">
        <v>1200</v>
      </c>
      <c r="D184" s="1030">
        <v>1.3499999999999943</v>
      </c>
      <c r="E184" s="1016" t="s">
        <v>4</v>
      </c>
      <c r="F184" s="1016">
        <v>1</v>
      </c>
      <c r="G184" s="1016" t="s">
        <v>16</v>
      </c>
      <c r="H184" s="1040">
        <v>0</v>
      </c>
      <c r="I184" s="1027">
        <f>SUM(F184*H184)</f>
        <v>0</v>
      </c>
    </row>
    <row r="185" spans="1:9">
      <c r="A185" s="1031" t="s">
        <v>1360</v>
      </c>
      <c r="C185" s="1016">
        <v>1200</v>
      </c>
      <c r="D185" s="1030">
        <v>1.3499999999999943</v>
      </c>
      <c r="E185" s="1016" t="s">
        <v>4</v>
      </c>
      <c r="F185" s="1016">
        <v>1</v>
      </c>
      <c r="G185" s="1016" t="s">
        <v>16</v>
      </c>
      <c r="H185" s="1040">
        <v>0</v>
      </c>
      <c r="I185" s="1027">
        <f>SUM(F185*H185)</f>
        <v>0</v>
      </c>
    </row>
    <row r="186" spans="1:9">
      <c r="A186" s="1031" t="s">
        <v>1359</v>
      </c>
      <c r="C186" s="1016">
        <v>1200</v>
      </c>
      <c r="D186" s="1030">
        <v>1.4250000000000114</v>
      </c>
      <c r="E186" s="1016" t="s">
        <v>4</v>
      </c>
      <c r="F186" s="1016">
        <v>1</v>
      </c>
      <c r="G186" s="1016" t="s">
        <v>16</v>
      </c>
      <c r="H186" s="1040">
        <v>0</v>
      </c>
      <c r="I186" s="1027">
        <f>SUM(F186*H186)</f>
        <v>0</v>
      </c>
    </row>
    <row r="187" spans="1:9">
      <c r="A187" s="1031" t="s">
        <v>1358</v>
      </c>
      <c r="C187" s="1016">
        <v>1200</v>
      </c>
      <c r="D187" s="1030">
        <v>1.4250000000000114</v>
      </c>
      <c r="E187" s="1016" t="s">
        <v>4</v>
      </c>
      <c r="F187" s="1016">
        <v>1</v>
      </c>
      <c r="G187" s="1016" t="s">
        <v>16</v>
      </c>
      <c r="H187" s="1040">
        <v>0</v>
      </c>
      <c r="I187" s="1027">
        <f>SUM(F187*H187)</f>
        <v>0</v>
      </c>
    </row>
    <row r="188" spans="1:9">
      <c r="A188" s="1031" t="s">
        <v>1357</v>
      </c>
      <c r="C188" s="1016">
        <v>1200</v>
      </c>
      <c r="D188" s="1030">
        <v>1.4250000000000114</v>
      </c>
      <c r="E188" s="1016" t="s">
        <v>4</v>
      </c>
      <c r="F188" s="1016">
        <v>1</v>
      </c>
      <c r="G188" s="1016" t="s">
        <v>16</v>
      </c>
      <c r="H188" s="1040">
        <v>0</v>
      </c>
      <c r="I188" s="1027">
        <f>SUM(F188*H188)</f>
        <v>0</v>
      </c>
    </row>
    <row r="189" spans="1:9">
      <c r="A189" s="1031" t="s">
        <v>1354</v>
      </c>
      <c r="C189" s="1016">
        <v>1200</v>
      </c>
      <c r="D189" s="1030">
        <v>1.3499999999999943</v>
      </c>
      <c r="E189" s="1016" t="s">
        <v>4</v>
      </c>
      <c r="F189" s="1016">
        <v>1</v>
      </c>
      <c r="G189" s="1016" t="s">
        <v>16</v>
      </c>
      <c r="H189" s="1040">
        <v>0</v>
      </c>
      <c r="I189" s="1027">
        <f>SUM(F189*H189)</f>
        <v>0</v>
      </c>
    </row>
    <row r="190" spans="1:9">
      <c r="A190" s="1031" t="s">
        <v>1353</v>
      </c>
      <c r="C190" s="1016">
        <v>1200</v>
      </c>
      <c r="D190" s="1030">
        <v>1.3499999999999943</v>
      </c>
      <c r="E190" s="1016" t="s">
        <v>4</v>
      </c>
      <c r="F190" s="1016">
        <v>1</v>
      </c>
      <c r="G190" s="1016" t="s">
        <v>16</v>
      </c>
      <c r="H190" s="1040">
        <v>0</v>
      </c>
      <c r="I190" s="1027">
        <f>SUM(F190*H190)</f>
        <v>0</v>
      </c>
    </row>
    <row r="191" spans="1:9">
      <c r="A191" s="1031" t="s">
        <v>1352</v>
      </c>
      <c r="C191" s="1016">
        <v>1200</v>
      </c>
      <c r="D191" s="1030">
        <v>1.4250000000000114</v>
      </c>
      <c r="E191" s="1016" t="s">
        <v>4</v>
      </c>
      <c r="F191" s="1016">
        <v>1</v>
      </c>
      <c r="G191" s="1016" t="s">
        <v>16</v>
      </c>
      <c r="H191" s="1040">
        <v>0</v>
      </c>
      <c r="I191" s="1027">
        <f>SUM(F191*H191)</f>
        <v>0</v>
      </c>
    </row>
    <row r="192" spans="1:9">
      <c r="A192" s="1031" t="s">
        <v>1351</v>
      </c>
      <c r="C192" s="1016">
        <v>1200</v>
      </c>
      <c r="D192" s="1030">
        <v>1.3499999999999943</v>
      </c>
      <c r="E192" s="1016" t="s">
        <v>4</v>
      </c>
      <c r="F192" s="1016">
        <v>1</v>
      </c>
      <c r="G192" s="1016" t="s">
        <v>16</v>
      </c>
      <c r="H192" s="1040">
        <v>0</v>
      </c>
      <c r="I192" s="1027">
        <f>SUM(F192*H192)</f>
        <v>0</v>
      </c>
    </row>
    <row r="193" spans="1:9">
      <c r="A193" s="1031" t="s">
        <v>1350</v>
      </c>
      <c r="C193" s="1016">
        <v>1200</v>
      </c>
      <c r="D193" s="1030">
        <v>1.7000000000000171</v>
      </c>
      <c r="E193" s="1016" t="s">
        <v>4</v>
      </c>
      <c r="F193" s="1016">
        <v>1</v>
      </c>
      <c r="G193" s="1016" t="s">
        <v>16</v>
      </c>
      <c r="H193" s="1040">
        <v>0</v>
      </c>
      <c r="I193" s="1027">
        <f>SUM(F193*H193)</f>
        <v>0</v>
      </c>
    </row>
    <row r="194" spans="1:9">
      <c r="A194" s="1031" t="s">
        <v>1349</v>
      </c>
      <c r="C194" s="1016">
        <v>1200</v>
      </c>
      <c r="D194" s="1030">
        <v>1.7999999999999829</v>
      </c>
      <c r="E194" s="1016" t="s">
        <v>4</v>
      </c>
      <c r="F194" s="1016">
        <v>1</v>
      </c>
      <c r="G194" s="1016" t="s">
        <v>16</v>
      </c>
      <c r="H194" s="1040">
        <v>0</v>
      </c>
      <c r="I194" s="1027">
        <f>SUM(F194*H194)</f>
        <v>0</v>
      </c>
    </row>
    <row r="195" spans="1:9">
      <c r="A195" s="1031" t="s">
        <v>1348</v>
      </c>
      <c r="C195" s="1016">
        <v>1200</v>
      </c>
      <c r="D195" s="1030">
        <v>1.5</v>
      </c>
      <c r="E195" s="1016" t="s">
        <v>4</v>
      </c>
      <c r="F195" s="1016">
        <v>1</v>
      </c>
      <c r="G195" s="1016" t="s">
        <v>16</v>
      </c>
      <c r="H195" s="1040">
        <v>0</v>
      </c>
      <c r="I195" s="1027">
        <f>SUM(F195*H195)</f>
        <v>0</v>
      </c>
    </row>
    <row r="196" spans="1:9">
      <c r="A196" s="1031" t="s">
        <v>1347</v>
      </c>
      <c r="C196" s="1016">
        <v>1200</v>
      </c>
      <c r="D196" s="1030">
        <v>1.4249999999999829</v>
      </c>
      <c r="E196" s="1016" t="s">
        <v>4</v>
      </c>
      <c r="F196" s="1016">
        <v>1</v>
      </c>
      <c r="G196" s="1016" t="s">
        <v>16</v>
      </c>
      <c r="H196" s="1040">
        <v>0</v>
      </c>
      <c r="I196" s="1027">
        <f>SUM(F196*H196)</f>
        <v>0</v>
      </c>
    </row>
    <row r="197" spans="1:9">
      <c r="A197" s="1031" t="s">
        <v>1346</v>
      </c>
      <c r="C197" s="1016">
        <v>1200</v>
      </c>
      <c r="D197" s="1030">
        <v>1.5</v>
      </c>
      <c r="E197" s="1016" t="s">
        <v>4</v>
      </c>
      <c r="F197" s="1016">
        <v>1</v>
      </c>
      <c r="G197" s="1016" t="s">
        <v>16</v>
      </c>
      <c r="H197" s="1040">
        <v>0</v>
      </c>
      <c r="I197" s="1027">
        <f>SUM(F197*H197)</f>
        <v>0</v>
      </c>
    </row>
    <row r="198" spans="1:9">
      <c r="A198" s="1031" t="s">
        <v>1345</v>
      </c>
      <c r="C198" s="1016">
        <v>1200</v>
      </c>
      <c r="D198" s="1030">
        <v>1.5010000000000048</v>
      </c>
      <c r="E198" s="1016" t="s">
        <v>4</v>
      </c>
      <c r="F198" s="1016">
        <v>1</v>
      </c>
      <c r="G198" s="1016" t="s">
        <v>16</v>
      </c>
      <c r="H198" s="1040">
        <v>0</v>
      </c>
      <c r="I198" s="1027">
        <f>SUM(F198*H198)</f>
        <v>0</v>
      </c>
    </row>
    <row r="199" spans="1:9">
      <c r="A199" s="1031" t="s">
        <v>1344</v>
      </c>
      <c r="C199" s="1016">
        <v>1200</v>
      </c>
      <c r="D199" s="1030">
        <v>1.4300000000000068</v>
      </c>
      <c r="E199" s="1016" t="s">
        <v>4</v>
      </c>
      <c r="F199" s="1016">
        <v>1</v>
      </c>
      <c r="G199" s="1016" t="s">
        <v>16</v>
      </c>
      <c r="H199" s="1040">
        <v>0</v>
      </c>
      <c r="I199" s="1027">
        <f>SUM(F199*H199)</f>
        <v>0</v>
      </c>
    </row>
    <row r="200" spans="1:9">
      <c r="A200" s="1031" t="s">
        <v>1343</v>
      </c>
      <c r="C200" s="1016">
        <v>1200</v>
      </c>
      <c r="D200" s="1030">
        <v>1.4250000000000114</v>
      </c>
      <c r="E200" s="1016" t="s">
        <v>4</v>
      </c>
      <c r="F200" s="1016">
        <v>1</v>
      </c>
      <c r="G200" s="1016" t="s">
        <v>16</v>
      </c>
      <c r="H200" s="1040">
        <v>0</v>
      </c>
      <c r="I200" s="1027">
        <f>SUM(F200*H200)</f>
        <v>0</v>
      </c>
    </row>
    <row r="201" spans="1:9">
      <c r="A201" s="1031" t="s">
        <v>1342</v>
      </c>
      <c r="C201" s="1016">
        <v>1200</v>
      </c>
      <c r="D201" s="1030">
        <v>1.4250000000000114</v>
      </c>
      <c r="E201" s="1016" t="s">
        <v>4</v>
      </c>
      <c r="F201" s="1016">
        <v>1</v>
      </c>
      <c r="G201" s="1016" t="s">
        <v>16</v>
      </c>
      <c r="H201" s="1040">
        <v>0</v>
      </c>
      <c r="I201" s="1027">
        <f>SUM(F201*H201)</f>
        <v>0</v>
      </c>
    </row>
    <row r="202" spans="1:9">
      <c r="A202" s="1031" t="s">
        <v>1341</v>
      </c>
      <c r="C202" s="1016">
        <v>1200</v>
      </c>
      <c r="D202" s="1030">
        <v>1.5</v>
      </c>
      <c r="E202" s="1016" t="s">
        <v>4</v>
      </c>
      <c r="F202" s="1016">
        <v>1</v>
      </c>
      <c r="G202" s="1016" t="s">
        <v>16</v>
      </c>
      <c r="H202" s="1040">
        <v>0</v>
      </c>
      <c r="I202" s="1027">
        <f>SUM(F202*H202)</f>
        <v>0</v>
      </c>
    </row>
    <row r="203" spans="1:9">
      <c r="A203" s="1031" t="s">
        <v>1340</v>
      </c>
      <c r="C203" s="1016">
        <v>1200</v>
      </c>
      <c r="D203" s="1030">
        <v>1.3499999999999943</v>
      </c>
      <c r="E203" s="1016" t="s">
        <v>4</v>
      </c>
      <c r="F203" s="1016">
        <v>1</v>
      </c>
      <c r="G203" s="1016" t="s">
        <v>16</v>
      </c>
      <c r="H203" s="1040">
        <v>0</v>
      </c>
      <c r="I203" s="1027">
        <f>SUM(F203*H203)</f>
        <v>0</v>
      </c>
    </row>
    <row r="204" spans="1:9">
      <c r="A204" s="1031" t="s">
        <v>1339</v>
      </c>
      <c r="C204" s="1016">
        <v>1200</v>
      </c>
      <c r="D204" s="1030">
        <v>1.4499999999999886</v>
      </c>
      <c r="E204" s="1016" t="s">
        <v>4</v>
      </c>
      <c r="F204" s="1016">
        <v>1</v>
      </c>
      <c r="G204" s="1016" t="s">
        <v>16</v>
      </c>
      <c r="H204" s="1040">
        <v>0</v>
      </c>
      <c r="I204" s="1027">
        <f>SUM(F204*H204)</f>
        <v>0</v>
      </c>
    </row>
    <row r="205" spans="1:9">
      <c r="A205" s="1031" t="s">
        <v>1338</v>
      </c>
      <c r="C205" s="1016">
        <v>1200</v>
      </c>
      <c r="D205" s="1030">
        <v>1.335000000000008</v>
      </c>
      <c r="E205" s="1016" t="s">
        <v>4</v>
      </c>
      <c r="F205" s="1016">
        <v>1</v>
      </c>
      <c r="G205" s="1016" t="s">
        <v>16</v>
      </c>
      <c r="H205" s="1040">
        <v>0</v>
      </c>
      <c r="I205" s="1027">
        <f>SUM(F205*H205)</f>
        <v>0</v>
      </c>
    </row>
    <row r="206" spans="1:9">
      <c r="A206" s="1031" t="s">
        <v>1337</v>
      </c>
      <c r="C206" s="1016">
        <v>1200</v>
      </c>
      <c r="D206" s="1030">
        <v>1.9</v>
      </c>
      <c r="E206" s="1016" t="s">
        <v>4</v>
      </c>
      <c r="F206" s="1016">
        <v>1</v>
      </c>
      <c r="G206" s="1016" t="s">
        <v>16</v>
      </c>
      <c r="H206" s="1040">
        <v>0</v>
      </c>
      <c r="I206" s="1027">
        <f>SUM(F206*H206)</f>
        <v>0</v>
      </c>
    </row>
    <row r="207" spans="1:9">
      <c r="A207" s="1031" t="s">
        <v>1336</v>
      </c>
      <c r="C207" s="1016">
        <v>1200</v>
      </c>
      <c r="D207" s="1030">
        <v>1.4250000000000114</v>
      </c>
      <c r="E207" s="1016" t="s">
        <v>4</v>
      </c>
      <c r="F207" s="1016">
        <v>1</v>
      </c>
      <c r="G207" s="1016" t="s">
        <v>16</v>
      </c>
      <c r="H207" s="1040">
        <v>0</v>
      </c>
      <c r="I207" s="1027">
        <f>SUM(F207*H207)</f>
        <v>0</v>
      </c>
    </row>
    <row r="208" spans="1:9">
      <c r="A208" s="1031" t="s">
        <v>1335</v>
      </c>
      <c r="C208" s="1016">
        <v>1200</v>
      </c>
      <c r="D208" s="1030">
        <v>1.5</v>
      </c>
      <c r="E208" s="1016" t="s">
        <v>4</v>
      </c>
      <c r="F208" s="1016">
        <v>1</v>
      </c>
      <c r="G208" s="1016" t="s">
        <v>16</v>
      </c>
      <c r="H208" s="1040">
        <v>0</v>
      </c>
      <c r="I208" s="1027">
        <f>SUM(F208*H208)</f>
        <v>0</v>
      </c>
    </row>
    <row r="209" spans="1:9">
      <c r="A209" s="1031" t="s">
        <v>1334</v>
      </c>
      <c r="C209" s="1016">
        <v>1200</v>
      </c>
      <c r="D209" s="1030">
        <v>1.5</v>
      </c>
      <c r="E209" s="1016" t="s">
        <v>4</v>
      </c>
      <c r="F209" s="1016">
        <v>1</v>
      </c>
      <c r="G209" s="1016" t="s">
        <v>16</v>
      </c>
      <c r="H209" s="1040">
        <v>0</v>
      </c>
      <c r="I209" s="1027">
        <f>SUM(F209*H209)</f>
        <v>0</v>
      </c>
    </row>
    <row r="210" spans="1:9">
      <c r="A210" s="1031" t="s">
        <v>1332</v>
      </c>
      <c r="C210" s="1016">
        <v>1200</v>
      </c>
      <c r="D210" s="1030">
        <v>1.9</v>
      </c>
      <c r="E210" s="1016" t="s">
        <v>4</v>
      </c>
      <c r="F210" s="1016">
        <v>1</v>
      </c>
      <c r="G210" s="1016" t="s">
        <v>16</v>
      </c>
      <c r="H210" s="1040">
        <v>0</v>
      </c>
      <c r="I210" s="1027">
        <f>SUM(F210*H210)</f>
        <v>0</v>
      </c>
    </row>
    <row r="211" spans="1:9">
      <c r="A211" s="1031" t="s">
        <v>1331</v>
      </c>
      <c r="C211" s="1016">
        <v>1200</v>
      </c>
      <c r="D211" s="1030">
        <v>1.4250000000000114</v>
      </c>
      <c r="E211" s="1016" t="s">
        <v>4</v>
      </c>
      <c r="F211" s="1016">
        <v>1</v>
      </c>
      <c r="G211" s="1016" t="s">
        <v>16</v>
      </c>
      <c r="H211" s="1040">
        <v>0</v>
      </c>
      <c r="I211" s="1027">
        <f>SUM(F211*H211)</f>
        <v>0</v>
      </c>
    </row>
    <row r="212" spans="1:9">
      <c r="A212" s="1031" t="s">
        <v>1330</v>
      </c>
      <c r="C212" s="1016">
        <v>1200</v>
      </c>
      <c r="D212" s="1030">
        <v>1.4250000000000114</v>
      </c>
      <c r="E212" s="1016" t="s">
        <v>4</v>
      </c>
      <c r="F212" s="1016">
        <v>1</v>
      </c>
      <c r="G212" s="1016" t="s">
        <v>16</v>
      </c>
      <c r="H212" s="1040">
        <v>0</v>
      </c>
      <c r="I212" s="1027">
        <f>SUM(F212*H212)</f>
        <v>0</v>
      </c>
    </row>
    <row r="213" spans="1:9">
      <c r="A213" s="1031" t="s">
        <v>1325</v>
      </c>
      <c r="C213" s="1016">
        <v>1200</v>
      </c>
      <c r="D213" s="1030">
        <v>2.0680000000000121</v>
      </c>
      <c r="E213" s="1016" t="s">
        <v>4</v>
      </c>
      <c r="F213" s="1016">
        <v>1</v>
      </c>
      <c r="G213" s="1016" t="s">
        <v>16</v>
      </c>
      <c r="H213" s="1040">
        <v>0</v>
      </c>
      <c r="I213" s="1027">
        <f>SUM(F213*H213)</f>
        <v>0</v>
      </c>
    </row>
    <row r="214" spans="1:9">
      <c r="A214" s="1031" t="s">
        <v>1324</v>
      </c>
      <c r="C214" s="1016">
        <v>1200</v>
      </c>
      <c r="D214" s="1030">
        <v>2.5699999999999932</v>
      </c>
      <c r="E214" s="1016" t="s">
        <v>4</v>
      </c>
      <c r="F214" s="1016">
        <v>1</v>
      </c>
      <c r="G214" s="1016" t="s">
        <v>16</v>
      </c>
      <c r="H214" s="1040">
        <v>0</v>
      </c>
      <c r="I214" s="1027">
        <f>SUM(F214*H214)</f>
        <v>0</v>
      </c>
    </row>
    <row r="215" spans="1:9">
      <c r="A215" s="1031" t="s">
        <v>1323</v>
      </c>
      <c r="C215" s="1016">
        <v>1200</v>
      </c>
      <c r="D215" s="1030">
        <v>1.7520000000000095</v>
      </c>
      <c r="E215" s="1016" t="s">
        <v>4</v>
      </c>
      <c r="F215" s="1016">
        <v>1</v>
      </c>
      <c r="G215" s="1016" t="s">
        <v>16</v>
      </c>
      <c r="H215" s="1040">
        <v>0</v>
      </c>
      <c r="I215" s="1027">
        <f>SUM(F215*H215)</f>
        <v>0</v>
      </c>
    </row>
    <row r="216" spans="1:9">
      <c r="A216" s="1031" t="s">
        <v>1322</v>
      </c>
      <c r="C216" s="1016">
        <v>1200</v>
      </c>
      <c r="D216" s="1030">
        <v>1.8290000000000077</v>
      </c>
      <c r="E216" s="1016" t="s">
        <v>4</v>
      </c>
      <c r="F216" s="1016">
        <v>1</v>
      </c>
      <c r="G216" s="1016" t="s">
        <v>16</v>
      </c>
      <c r="H216" s="1040">
        <v>0</v>
      </c>
      <c r="I216" s="1027">
        <f>SUM(F216*H216)</f>
        <v>0</v>
      </c>
    </row>
    <row r="217" spans="1:9">
      <c r="A217" s="1031" t="s">
        <v>1320</v>
      </c>
      <c r="C217" s="1016">
        <v>1200</v>
      </c>
      <c r="D217" s="1030">
        <v>1.3499999999999943</v>
      </c>
      <c r="E217" s="1016" t="s">
        <v>4</v>
      </c>
      <c r="F217" s="1016">
        <v>1</v>
      </c>
      <c r="G217" s="1016" t="s">
        <v>16</v>
      </c>
      <c r="H217" s="1040">
        <v>0</v>
      </c>
      <c r="I217" s="1027">
        <f>SUM(F217*H217)</f>
        <v>0</v>
      </c>
    </row>
    <row r="218" spans="1:9">
      <c r="A218" s="1031" t="s">
        <v>1319</v>
      </c>
      <c r="C218" s="1016">
        <v>1200</v>
      </c>
      <c r="D218" s="1030">
        <v>1.4250000000000114</v>
      </c>
      <c r="E218" s="1016" t="s">
        <v>4</v>
      </c>
      <c r="F218" s="1016">
        <v>1</v>
      </c>
      <c r="G218" s="1016" t="s">
        <v>16</v>
      </c>
      <c r="H218" s="1040">
        <v>0</v>
      </c>
      <c r="I218" s="1027">
        <f>SUM(F218*H218)</f>
        <v>0</v>
      </c>
    </row>
    <row r="219" spans="1:9">
      <c r="A219" s="1031" t="s">
        <v>1318</v>
      </c>
      <c r="C219" s="1016">
        <v>1200</v>
      </c>
      <c r="D219" s="1030">
        <v>1.4249999999999829</v>
      </c>
      <c r="E219" s="1016" t="s">
        <v>4</v>
      </c>
      <c r="F219" s="1016">
        <v>1</v>
      </c>
      <c r="G219" s="1016" t="s">
        <v>16</v>
      </c>
      <c r="H219" s="1040">
        <v>0</v>
      </c>
      <c r="I219" s="1027">
        <f>SUM(F219*H219)</f>
        <v>0</v>
      </c>
    </row>
    <row r="220" spans="1:9">
      <c r="A220" s="1031" t="s">
        <v>1316</v>
      </c>
      <c r="C220" s="1016">
        <v>1200</v>
      </c>
      <c r="D220" s="1030">
        <v>2.4279999999999973</v>
      </c>
      <c r="E220" s="1016" t="s">
        <v>4</v>
      </c>
      <c r="F220" s="1016">
        <v>1</v>
      </c>
      <c r="G220" s="1016" t="s">
        <v>16</v>
      </c>
      <c r="H220" s="1040">
        <v>0</v>
      </c>
      <c r="I220" s="1027">
        <f>SUM(F220*H220)</f>
        <v>0</v>
      </c>
    </row>
    <row r="221" spans="1:9">
      <c r="A221" s="1031" t="s">
        <v>1315</v>
      </c>
      <c r="C221" s="1016">
        <v>1200</v>
      </c>
      <c r="D221" s="1030">
        <v>1.3499999999999943</v>
      </c>
      <c r="E221" s="1016" t="s">
        <v>4</v>
      </c>
      <c r="F221" s="1016">
        <v>1</v>
      </c>
      <c r="G221" s="1016" t="s">
        <v>16</v>
      </c>
      <c r="H221" s="1040">
        <v>0</v>
      </c>
      <c r="I221" s="1027">
        <f>SUM(F221*H221)</f>
        <v>0</v>
      </c>
    </row>
    <row r="222" spans="1:9">
      <c r="A222" s="1031" t="s">
        <v>1314</v>
      </c>
      <c r="C222" s="1016">
        <v>1200</v>
      </c>
      <c r="D222" s="1030">
        <v>1.3499999999999943</v>
      </c>
      <c r="E222" s="1016" t="s">
        <v>4</v>
      </c>
      <c r="F222" s="1016">
        <v>1</v>
      </c>
      <c r="G222" s="1016" t="s">
        <v>16</v>
      </c>
      <c r="H222" s="1040">
        <v>0</v>
      </c>
      <c r="I222" s="1027">
        <f>SUM(F222*H222)</f>
        <v>0</v>
      </c>
    </row>
    <row r="223" spans="1:9">
      <c r="A223" s="1017" t="s">
        <v>1411</v>
      </c>
      <c r="C223" s="1016">
        <v>1350</v>
      </c>
      <c r="D223" s="1030">
        <v>1.7800000000000011</v>
      </c>
      <c r="E223" s="1016" t="s">
        <v>4</v>
      </c>
      <c r="F223" s="1016">
        <v>1</v>
      </c>
      <c r="G223" s="1016" t="s">
        <v>16</v>
      </c>
      <c r="H223" s="1040">
        <v>0</v>
      </c>
      <c r="I223" s="1027">
        <f>SUM(F223*H223)</f>
        <v>0</v>
      </c>
    </row>
    <row r="224" spans="1:9">
      <c r="A224" s="1017" t="s">
        <v>1410</v>
      </c>
      <c r="C224" s="1016">
        <v>1350</v>
      </c>
      <c r="D224" s="1030">
        <v>1.5750000000000171</v>
      </c>
      <c r="E224" s="1016" t="s">
        <v>4</v>
      </c>
      <c r="F224" s="1016">
        <v>1</v>
      </c>
      <c r="G224" s="1016" t="s">
        <v>16</v>
      </c>
      <c r="H224" s="1040">
        <v>0</v>
      </c>
      <c r="I224" s="1027">
        <f>SUM(F224*H224)</f>
        <v>0</v>
      </c>
    </row>
    <row r="225" spans="1:9">
      <c r="A225" s="1017" t="s">
        <v>1409</v>
      </c>
      <c r="C225" s="1016">
        <v>1350</v>
      </c>
      <c r="D225" s="1030">
        <v>1.575</v>
      </c>
      <c r="E225" s="1016" t="s">
        <v>4</v>
      </c>
      <c r="F225" s="1016">
        <v>1</v>
      </c>
      <c r="G225" s="1016" t="s">
        <v>16</v>
      </c>
      <c r="H225" s="1040">
        <v>0</v>
      </c>
      <c r="I225" s="1027">
        <f>SUM(F225*H225)</f>
        <v>0</v>
      </c>
    </row>
    <row r="226" spans="1:9">
      <c r="A226" s="1017" t="s">
        <v>1386</v>
      </c>
      <c r="C226" s="1016">
        <v>1350</v>
      </c>
      <c r="D226" s="1030">
        <v>1.65</v>
      </c>
      <c r="E226" s="1016" t="s">
        <v>4</v>
      </c>
      <c r="F226" s="1016">
        <v>1</v>
      </c>
      <c r="G226" s="1016" t="s">
        <v>16</v>
      </c>
      <c r="H226" s="1040">
        <v>0</v>
      </c>
      <c r="I226" s="1027">
        <f>SUM(F226*H226)</f>
        <v>0</v>
      </c>
    </row>
    <row r="227" spans="1:9">
      <c r="A227" s="1031" t="s">
        <v>1370</v>
      </c>
      <c r="C227" s="1016">
        <v>1350</v>
      </c>
      <c r="D227" s="1030">
        <v>1.5</v>
      </c>
      <c r="E227" s="1016" t="s">
        <v>4</v>
      </c>
      <c r="F227" s="1016">
        <v>1</v>
      </c>
      <c r="G227" s="1016" t="s">
        <v>16</v>
      </c>
      <c r="H227" s="1040">
        <v>0</v>
      </c>
      <c r="I227" s="1027">
        <f>SUM(F227*H227)</f>
        <v>0</v>
      </c>
    </row>
    <row r="228" spans="1:9">
      <c r="A228" s="1031" t="s">
        <v>1369</v>
      </c>
      <c r="C228" s="1016">
        <v>1350</v>
      </c>
      <c r="D228" s="1030">
        <v>1.5999999999999943</v>
      </c>
      <c r="E228" s="1016" t="s">
        <v>4</v>
      </c>
      <c r="F228" s="1016">
        <v>1</v>
      </c>
      <c r="G228" s="1016" t="s">
        <v>16</v>
      </c>
      <c r="H228" s="1040">
        <v>0</v>
      </c>
      <c r="I228" s="1027">
        <f>SUM(F228*H228)</f>
        <v>0</v>
      </c>
    </row>
    <row r="229" spans="1:9">
      <c r="A229" s="1031" t="s">
        <v>1356</v>
      </c>
      <c r="C229" s="1016">
        <v>1350</v>
      </c>
      <c r="D229" s="1030">
        <v>1.5749999999999886</v>
      </c>
      <c r="E229" s="1016" t="s">
        <v>4</v>
      </c>
      <c r="F229" s="1016">
        <v>1</v>
      </c>
      <c r="G229" s="1016" t="s">
        <v>16</v>
      </c>
      <c r="H229" s="1040">
        <v>0</v>
      </c>
      <c r="I229" s="1027">
        <f>SUM(F229*H229)</f>
        <v>0</v>
      </c>
    </row>
    <row r="230" spans="1:9">
      <c r="A230" s="1031" t="s">
        <v>1355</v>
      </c>
      <c r="C230" s="1016">
        <v>1350</v>
      </c>
      <c r="D230" s="1030">
        <v>1.6500000000000057</v>
      </c>
      <c r="E230" s="1016" t="s">
        <v>4</v>
      </c>
      <c r="F230" s="1016">
        <v>1</v>
      </c>
      <c r="G230" s="1016" t="s">
        <v>16</v>
      </c>
      <c r="H230" s="1040">
        <v>0</v>
      </c>
      <c r="I230" s="1027">
        <f>SUM(F230*H230)</f>
        <v>0</v>
      </c>
    </row>
    <row r="231" spans="1:9">
      <c r="A231" s="1031" t="s">
        <v>1333</v>
      </c>
      <c r="C231" s="1016">
        <v>1350</v>
      </c>
      <c r="D231" s="1030">
        <v>1.5750000000000171</v>
      </c>
      <c r="E231" s="1016" t="s">
        <v>4</v>
      </c>
      <c r="F231" s="1016">
        <v>1</v>
      </c>
      <c r="G231" s="1016" t="s">
        <v>16</v>
      </c>
      <c r="H231" s="1040">
        <v>0</v>
      </c>
      <c r="I231" s="1027">
        <f>SUM(F231*H231)</f>
        <v>0</v>
      </c>
    </row>
    <row r="232" spans="1:9">
      <c r="A232" s="1017" t="s">
        <v>1405</v>
      </c>
      <c r="C232" s="1016">
        <v>1500</v>
      </c>
      <c r="D232" s="1030">
        <v>1.6500000000000057</v>
      </c>
      <c r="E232" s="1016" t="s">
        <v>4</v>
      </c>
      <c r="F232" s="1016">
        <v>1</v>
      </c>
      <c r="G232" s="1016" t="s">
        <v>16</v>
      </c>
      <c r="H232" s="1040">
        <v>0</v>
      </c>
      <c r="I232" s="1027">
        <f>SUM(F232*H232)</f>
        <v>0</v>
      </c>
    </row>
    <row r="233" spans="1:9">
      <c r="A233" s="1017" t="s">
        <v>1385</v>
      </c>
      <c r="C233" s="1016">
        <v>1500</v>
      </c>
      <c r="D233" s="1030">
        <v>1.3509999999999991</v>
      </c>
      <c r="E233" s="1016" t="s">
        <v>4</v>
      </c>
      <c r="F233" s="1016">
        <v>1</v>
      </c>
      <c r="G233" s="1016" t="s">
        <v>16</v>
      </c>
      <c r="H233" s="1040">
        <v>0</v>
      </c>
      <c r="I233" s="1027">
        <f>SUM(F233*H233)</f>
        <v>0</v>
      </c>
    </row>
    <row r="234" spans="1:9">
      <c r="A234" s="1031" t="s">
        <v>1365</v>
      </c>
      <c r="C234" s="1016">
        <v>1500</v>
      </c>
      <c r="D234" s="1030">
        <v>1.6500000000000057</v>
      </c>
      <c r="E234" s="1016" t="s">
        <v>4</v>
      </c>
      <c r="F234" s="1016">
        <v>1</v>
      </c>
      <c r="G234" s="1016" t="s">
        <v>16</v>
      </c>
      <c r="H234" s="1040">
        <v>0</v>
      </c>
      <c r="I234" s="1027">
        <f>SUM(F234*H234)</f>
        <v>0</v>
      </c>
    </row>
    <row r="235" spans="1:9">
      <c r="A235" s="1031" t="s">
        <v>1329</v>
      </c>
      <c r="C235" s="1016">
        <v>1500</v>
      </c>
      <c r="D235" s="1030">
        <v>1.6500000000000057</v>
      </c>
      <c r="E235" s="1016" t="s">
        <v>4</v>
      </c>
      <c r="F235" s="1016">
        <v>1</v>
      </c>
      <c r="G235" s="1016" t="s">
        <v>16</v>
      </c>
      <c r="H235" s="1040">
        <v>0</v>
      </c>
      <c r="I235" s="1027">
        <f>SUM(F235*H235)</f>
        <v>0</v>
      </c>
    </row>
    <row r="236" spans="1:9">
      <c r="A236" s="1031" t="s">
        <v>1328</v>
      </c>
      <c r="C236" s="1016">
        <v>1500</v>
      </c>
      <c r="D236" s="1030">
        <v>1.6499999999999773</v>
      </c>
      <c r="E236" s="1016" t="s">
        <v>4</v>
      </c>
      <c r="F236" s="1016">
        <v>1</v>
      </c>
      <c r="G236" s="1016" t="s">
        <v>16</v>
      </c>
      <c r="H236" s="1040">
        <v>0</v>
      </c>
      <c r="I236" s="1027">
        <f>SUM(F236*H236)</f>
        <v>0</v>
      </c>
    </row>
    <row r="237" spans="1:9">
      <c r="A237" s="1017" t="s">
        <v>1402</v>
      </c>
      <c r="C237" s="1016">
        <v>1800</v>
      </c>
      <c r="D237" s="1030">
        <v>1.7249999999999943</v>
      </c>
      <c r="E237" s="1016" t="s">
        <v>4</v>
      </c>
      <c r="F237" s="1016">
        <v>1</v>
      </c>
      <c r="G237" s="1016" t="s">
        <v>16</v>
      </c>
      <c r="H237" s="1040">
        <v>0</v>
      </c>
      <c r="I237" s="1027">
        <f>SUM(F237*H237)</f>
        <v>0</v>
      </c>
    </row>
    <row r="238" spans="1:9">
      <c r="A238" s="1017" t="s">
        <v>1400</v>
      </c>
      <c r="C238" s="1016">
        <v>1800</v>
      </c>
      <c r="D238" s="1030">
        <v>1.7999999999999829</v>
      </c>
      <c r="E238" s="1016" t="s">
        <v>4</v>
      </c>
      <c r="F238" s="1016">
        <v>1</v>
      </c>
      <c r="G238" s="1016" t="s">
        <v>16</v>
      </c>
      <c r="H238" s="1040">
        <v>0</v>
      </c>
      <c r="I238" s="1027">
        <f>SUM(F238*H238)</f>
        <v>0</v>
      </c>
    </row>
    <row r="239" spans="1:9">
      <c r="A239" s="1017" t="s">
        <v>1399</v>
      </c>
      <c r="C239" s="1016">
        <v>1800</v>
      </c>
      <c r="D239" s="1030">
        <v>2.0999999999999943</v>
      </c>
      <c r="E239" s="1016" t="s">
        <v>4</v>
      </c>
      <c r="F239" s="1016">
        <v>1</v>
      </c>
      <c r="G239" s="1016" t="s">
        <v>16</v>
      </c>
      <c r="H239" s="1040">
        <v>0</v>
      </c>
      <c r="I239" s="1027">
        <f>SUM(F239*H239)</f>
        <v>0</v>
      </c>
    </row>
    <row r="240" spans="1:9">
      <c r="A240" s="1017" t="s">
        <v>1384</v>
      </c>
      <c r="C240" s="1016">
        <v>1800</v>
      </c>
      <c r="D240" s="1030">
        <v>2.3600000000000136</v>
      </c>
      <c r="E240" s="1016" t="s">
        <v>4</v>
      </c>
      <c r="F240" s="1016">
        <v>1</v>
      </c>
      <c r="G240" s="1016" t="s">
        <v>16</v>
      </c>
      <c r="H240" s="1040">
        <v>0</v>
      </c>
      <c r="I240" s="1027">
        <f>SUM(F240*H240)</f>
        <v>0</v>
      </c>
    </row>
    <row r="241" spans="1:9">
      <c r="A241" s="1017" t="s">
        <v>1382</v>
      </c>
      <c r="C241" s="1016">
        <v>1800</v>
      </c>
      <c r="D241" s="1030">
        <v>1.7690000000000055</v>
      </c>
      <c r="E241" s="1016" t="s">
        <v>4</v>
      </c>
      <c r="F241" s="1016">
        <v>1</v>
      </c>
      <c r="G241" s="1016" t="s">
        <v>16</v>
      </c>
      <c r="H241" s="1040">
        <v>0</v>
      </c>
      <c r="I241" s="1027">
        <f>SUM(F241*H241)</f>
        <v>0</v>
      </c>
    </row>
    <row r="242" spans="1:9">
      <c r="A242" s="1031" t="s">
        <v>1364</v>
      </c>
      <c r="C242" s="1016">
        <v>1800</v>
      </c>
      <c r="D242" s="1030">
        <v>2</v>
      </c>
      <c r="E242" s="1016" t="s">
        <v>4</v>
      </c>
      <c r="F242" s="1016">
        <v>1</v>
      </c>
      <c r="G242" s="1016" t="s">
        <v>16</v>
      </c>
      <c r="H242" s="1040">
        <v>0</v>
      </c>
      <c r="I242" s="1027">
        <f>SUM(F242*H242)</f>
        <v>0</v>
      </c>
    </row>
    <row r="243" spans="1:9">
      <c r="A243" s="1031" t="s">
        <v>1327</v>
      </c>
      <c r="C243" s="1016">
        <v>1800</v>
      </c>
      <c r="D243" s="1030">
        <v>1.8000000000000114</v>
      </c>
      <c r="E243" s="1016" t="s">
        <v>4</v>
      </c>
      <c r="F243" s="1016">
        <v>1</v>
      </c>
      <c r="G243" s="1016" t="s">
        <v>16</v>
      </c>
      <c r="H243" s="1040">
        <v>0</v>
      </c>
      <c r="I243" s="1027">
        <f>SUM(F243*H243)</f>
        <v>0</v>
      </c>
    </row>
    <row r="244" spans="1:9">
      <c r="A244" s="1031" t="s">
        <v>1326</v>
      </c>
      <c r="C244" s="1016">
        <v>1800</v>
      </c>
      <c r="D244" s="1030">
        <v>2</v>
      </c>
      <c r="E244" s="1016" t="s">
        <v>4</v>
      </c>
      <c r="F244" s="1016">
        <v>1</v>
      </c>
      <c r="G244" s="1016" t="s">
        <v>16</v>
      </c>
      <c r="H244" s="1040">
        <v>0</v>
      </c>
      <c r="I244" s="1027">
        <f>SUM(F244*H244)</f>
        <v>0</v>
      </c>
    </row>
    <row r="245" spans="1:9">
      <c r="A245" s="1031" t="s">
        <v>1317</v>
      </c>
      <c r="C245" s="1016">
        <v>1800</v>
      </c>
      <c r="D245" s="1030">
        <v>1.563999999999993</v>
      </c>
      <c r="E245" s="1016" t="s">
        <v>4</v>
      </c>
      <c r="F245" s="1016">
        <v>1</v>
      </c>
      <c r="G245" s="1016" t="s">
        <v>16</v>
      </c>
      <c r="H245" s="1040">
        <v>0</v>
      </c>
      <c r="I245" s="1027">
        <f>SUM(F245*H245)</f>
        <v>0</v>
      </c>
    </row>
    <row r="246" spans="1:9">
      <c r="A246" s="1017" t="s">
        <v>1378</v>
      </c>
      <c r="C246" s="1016">
        <v>2700</v>
      </c>
      <c r="D246" s="1030">
        <v>3.282999999999987</v>
      </c>
      <c r="E246" s="1016" t="s">
        <v>4</v>
      </c>
      <c r="F246" s="1016">
        <v>1</v>
      </c>
      <c r="G246" s="1016" t="s">
        <v>16</v>
      </c>
      <c r="H246" s="1040">
        <v>0</v>
      </c>
      <c r="I246" s="1027">
        <f>SUM(F246*H246)</f>
        <v>0</v>
      </c>
    </row>
    <row r="247" spans="1:9">
      <c r="A247" s="1017" t="s">
        <v>1377</v>
      </c>
      <c r="C247" s="1016">
        <v>2700</v>
      </c>
      <c r="D247" s="1030">
        <v>2.3549999999999898</v>
      </c>
      <c r="E247" s="1016" t="s">
        <v>4</v>
      </c>
      <c r="F247" s="1016">
        <v>1</v>
      </c>
      <c r="G247" s="1016" t="s">
        <v>16</v>
      </c>
      <c r="H247" s="1040">
        <v>0</v>
      </c>
      <c r="I247" s="1027">
        <f>SUM(F247*H247)</f>
        <v>0</v>
      </c>
    </row>
    <row r="248" spans="1:9">
      <c r="A248" s="1031" t="s">
        <v>1321</v>
      </c>
      <c r="C248" s="1016" t="s">
        <v>1300</v>
      </c>
      <c r="D248" s="1030">
        <v>2</v>
      </c>
      <c r="E248" s="1016" t="s">
        <v>4</v>
      </c>
      <c r="F248" s="1016">
        <v>1</v>
      </c>
      <c r="G248" s="1016" t="s">
        <v>16</v>
      </c>
      <c r="H248" s="1040">
        <v>0</v>
      </c>
      <c r="I248" s="1027">
        <f>SUM(F248*H248)</f>
        <v>0</v>
      </c>
    </row>
    <row r="249" spans="1:9">
      <c r="A249" s="1031" t="s">
        <v>1313</v>
      </c>
      <c r="C249" s="1016" t="s">
        <v>1300</v>
      </c>
      <c r="D249" s="1030">
        <v>2.0180000000000007</v>
      </c>
      <c r="E249" s="1016" t="s">
        <v>4</v>
      </c>
      <c r="F249" s="1016">
        <v>1</v>
      </c>
      <c r="G249" s="1016" t="s">
        <v>16</v>
      </c>
      <c r="H249" s="1040">
        <v>0</v>
      </c>
      <c r="I249" s="1027">
        <f>SUM(F249*H249)</f>
        <v>0</v>
      </c>
    </row>
    <row r="250" spans="1:9">
      <c r="A250" s="1031" t="s">
        <v>1312</v>
      </c>
      <c r="C250" s="1016" t="s">
        <v>1300</v>
      </c>
      <c r="D250" s="1030">
        <v>1.0330000000000155</v>
      </c>
      <c r="E250" s="1016" t="s">
        <v>4</v>
      </c>
      <c r="F250" s="1016">
        <v>1</v>
      </c>
      <c r="G250" s="1016" t="s">
        <v>16</v>
      </c>
      <c r="H250" s="1040">
        <v>0</v>
      </c>
      <c r="I250" s="1027">
        <f>SUM(F250*H250)</f>
        <v>0</v>
      </c>
    </row>
    <row r="251" spans="1:9">
      <c r="A251" s="1031" t="s">
        <v>1311</v>
      </c>
      <c r="C251" s="1016" t="s">
        <v>1300</v>
      </c>
      <c r="D251" s="1030">
        <v>1.9399999999999977</v>
      </c>
      <c r="E251" s="1016" t="s">
        <v>4</v>
      </c>
      <c r="F251" s="1016">
        <v>1</v>
      </c>
      <c r="G251" s="1016" t="s">
        <v>16</v>
      </c>
      <c r="H251" s="1040">
        <v>0</v>
      </c>
      <c r="I251" s="1027">
        <f>SUM(F251*H251)</f>
        <v>0</v>
      </c>
    </row>
    <row r="252" spans="1:9">
      <c r="A252" s="1031" t="s">
        <v>1310</v>
      </c>
      <c r="C252" s="1016" t="s">
        <v>1300</v>
      </c>
      <c r="D252" s="1030">
        <v>1.2750000000000057</v>
      </c>
      <c r="E252" s="1016" t="s">
        <v>4</v>
      </c>
      <c r="F252" s="1016">
        <v>1</v>
      </c>
      <c r="G252" s="1016" t="s">
        <v>16</v>
      </c>
      <c r="H252" s="1040">
        <v>0</v>
      </c>
      <c r="I252" s="1027">
        <f>SUM(F252*H252)</f>
        <v>0</v>
      </c>
    </row>
    <row r="253" spans="1:9">
      <c r="A253" s="1031" t="s">
        <v>1309</v>
      </c>
      <c r="C253" s="1016" t="s">
        <v>1300</v>
      </c>
      <c r="D253" s="1030">
        <v>2.0980000000000132</v>
      </c>
      <c r="E253" s="1016" t="s">
        <v>4</v>
      </c>
      <c r="F253" s="1016">
        <v>1</v>
      </c>
      <c r="G253" s="1016" t="s">
        <v>16</v>
      </c>
      <c r="H253" s="1040">
        <v>0</v>
      </c>
      <c r="I253" s="1027">
        <f>SUM(F253*H253)</f>
        <v>0</v>
      </c>
    </row>
    <row r="254" spans="1:9">
      <c r="A254" s="1031" t="s">
        <v>1308</v>
      </c>
      <c r="C254" s="1016" t="s">
        <v>1300</v>
      </c>
      <c r="D254" s="1030">
        <v>1.2160000000000082</v>
      </c>
      <c r="E254" s="1016" t="s">
        <v>4</v>
      </c>
      <c r="F254" s="1016">
        <v>1</v>
      </c>
      <c r="G254" s="1016" t="s">
        <v>16</v>
      </c>
      <c r="H254" s="1040">
        <v>0</v>
      </c>
      <c r="I254" s="1027">
        <f>SUM(F254*H254)</f>
        <v>0</v>
      </c>
    </row>
    <row r="255" spans="1:9">
      <c r="A255" s="1031" t="s">
        <v>1307</v>
      </c>
      <c r="C255" s="1016" t="s">
        <v>1300</v>
      </c>
      <c r="D255" s="1030">
        <v>2.4499999999999886</v>
      </c>
      <c r="E255" s="1016" t="s">
        <v>4</v>
      </c>
      <c r="F255" s="1016">
        <v>1</v>
      </c>
      <c r="G255" s="1016" t="s">
        <v>16</v>
      </c>
      <c r="H255" s="1040">
        <v>0</v>
      </c>
      <c r="I255" s="1027">
        <f>SUM(F255*H255)</f>
        <v>0</v>
      </c>
    </row>
    <row r="256" spans="1:9">
      <c r="A256" s="1031" t="s">
        <v>1306</v>
      </c>
      <c r="C256" s="1016" t="s">
        <v>1300</v>
      </c>
      <c r="D256" s="1030">
        <v>1.3629999999999995</v>
      </c>
      <c r="E256" s="1016" t="s">
        <v>4</v>
      </c>
      <c r="F256" s="1016">
        <v>1</v>
      </c>
      <c r="G256" s="1016" t="s">
        <v>16</v>
      </c>
      <c r="H256" s="1040">
        <v>0</v>
      </c>
      <c r="I256" s="1027">
        <f>SUM(F256*H256)</f>
        <v>0</v>
      </c>
    </row>
    <row r="257" spans="1:9">
      <c r="A257" s="1031" t="s">
        <v>1305</v>
      </c>
      <c r="C257" s="1016" t="s">
        <v>1300</v>
      </c>
      <c r="D257" s="1030">
        <v>2</v>
      </c>
      <c r="E257" s="1016" t="s">
        <v>4</v>
      </c>
      <c r="F257" s="1016">
        <v>1</v>
      </c>
      <c r="G257" s="1016" t="s">
        <v>16</v>
      </c>
      <c r="H257" s="1040">
        <v>0</v>
      </c>
      <c r="I257" s="1027">
        <f>SUM(F257*H257)</f>
        <v>0</v>
      </c>
    </row>
    <row r="258" spans="1:9">
      <c r="A258" s="1031" t="s">
        <v>1304</v>
      </c>
      <c r="C258" s="1016" t="s">
        <v>1300</v>
      </c>
      <c r="D258" s="1030">
        <v>1.75</v>
      </c>
      <c r="E258" s="1016" t="s">
        <v>4</v>
      </c>
      <c r="F258" s="1016">
        <v>1</v>
      </c>
      <c r="G258" s="1016" t="s">
        <v>16</v>
      </c>
      <c r="H258" s="1040">
        <v>0</v>
      </c>
      <c r="I258" s="1027">
        <f>SUM(F258*H258)</f>
        <v>0</v>
      </c>
    </row>
    <row r="259" spans="1:9">
      <c r="A259" s="1031" t="s">
        <v>1303</v>
      </c>
      <c r="C259" s="1016" t="s">
        <v>1300</v>
      </c>
      <c r="D259" s="1030">
        <v>1.6680000000000064</v>
      </c>
      <c r="E259" s="1016" t="s">
        <v>4</v>
      </c>
      <c r="F259" s="1016">
        <v>1</v>
      </c>
      <c r="G259" s="1016" t="s">
        <v>16</v>
      </c>
      <c r="H259" s="1040">
        <v>0</v>
      </c>
      <c r="I259" s="1027">
        <f>SUM(F259*H259)</f>
        <v>0</v>
      </c>
    </row>
    <row r="260" spans="1:9">
      <c r="A260" s="1031" t="s">
        <v>1302</v>
      </c>
      <c r="C260" s="1016" t="s">
        <v>1300</v>
      </c>
      <c r="D260" s="1030">
        <v>3.2000000000000171</v>
      </c>
      <c r="E260" s="1016" t="s">
        <v>4</v>
      </c>
      <c r="F260" s="1016">
        <v>1</v>
      </c>
      <c r="G260" s="1016" t="s">
        <v>16</v>
      </c>
      <c r="H260" s="1040">
        <v>0</v>
      </c>
      <c r="I260" s="1027">
        <f>SUM(F260*H260)</f>
        <v>0</v>
      </c>
    </row>
    <row r="261" spans="1:9">
      <c r="A261" s="1031" t="s">
        <v>1301</v>
      </c>
      <c r="C261" s="1016" t="s">
        <v>1300</v>
      </c>
      <c r="D261" s="1030">
        <v>2.0500000000000114</v>
      </c>
      <c r="E261" s="1016" t="s">
        <v>4</v>
      </c>
      <c r="F261" s="1016">
        <v>1</v>
      </c>
      <c r="G261" s="1016" t="s">
        <v>16</v>
      </c>
      <c r="H261" s="1040">
        <v>0</v>
      </c>
      <c r="I261" s="1027">
        <f>SUM(F261*H261)</f>
        <v>0</v>
      </c>
    </row>
    <row r="262" spans="1:9">
      <c r="A262" s="1017"/>
      <c r="C262" s="1016"/>
      <c r="D262" s="1016"/>
      <c r="E262" s="1016"/>
      <c r="F262" s="1016"/>
      <c r="G262" s="1016"/>
      <c r="H262" s="1016"/>
      <c r="I262" s="1021"/>
    </row>
    <row r="263" spans="1:9" ht="13" thickBot="1">
      <c r="A263" s="1017"/>
      <c r="C263" s="1016"/>
      <c r="D263" s="1016"/>
      <c r="E263" s="1016"/>
      <c r="F263" s="1016"/>
      <c r="G263" s="1016"/>
      <c r="H263" s="1016"/>
      <c r="I263" s="1024">
        <f>SUM(I138:I262)</f>
        <v>0</v>
      </c>
    </row>
    <row r="264" spans="1:9" ht="13" thickTop="1">
      <c r="A264" s="1017"/>
      <c r="C264" s="1016"/>
      <c r="D264" s="1016"/>
      <c r="E264" s="1016"/>
      <c r="F264" s="1016"/>
      <c r="G264" s="1016"/>
      <c r="H264" s="1016"/>
      <c r="I264" s="1021"/>
    </row>
    <row r="265" spans="1:9">
      <c r="A265" s="1017"/>
      <c r="C265" s="1016"/>
      <c r="D265" s="1016"/>
      <c r="E265" s="1016"/>
      <c r="F265" s="1016"/>
      <c r="G265" s="1016"/>
      <c r="H265" s="1016"/>
      <c r="I265" s="1021"/>
    </row>
    <row r="266" spans="1:9">
      <c r="A266" s="1028" t="s">
        <v>1299</v>
      </c>
      <c r="C266" s="1016" t="s">
        <v>139</v>
      </c>
      <c r="D266" s="1016"/>
      <c r="E266" s="1016"/>
      <c r="F266" s="1016"/>
      <c r="G266" s="1016"/>
      <c r="H266" s="1016"/>
      <c r="I266" s="1021"/>
    </row>
    <row r="267" spans="1:9">
      <c r="A267" s="1017"/>
      <c r="C267" s="1016"/>
      <c r="D267" s="1016"/>
      <c r="E267" s="1016"/>
      <c r="F267" s="1016"/>
      <c r="G267" s="1016"/>
      <c r="H267" s="1016"/>
      <c r="I267" s="1021"/>
    </row>
    <row r="268" spans="1:9">
      <c r="A268" s="1017" t="s">
        <v>1298</v>
      </c>
      <c r="C268" s="1016"/>
      <c r="D268" s="1016"/>
      <c r="E268" s="1016"/>
      <c r="F268" s="1016">
        <v>240</v>
      </c>
      <c r="G268" s="1016" t="s">
        <v>16</v>
      </c>
      <c r="H268" s="1026">
        <v>0</v>
      </c>
      <c r="I268" s="1025">
        <f t="shared" ref="I268:I277" si="1">SUM(F268*H268)</f>
        <v>0</v>
      </c>
    </row>
    <row r="269" spans="1:9">
      <c r="A269" s="1017" t="s">
        <v>1297</v>
      </c>
      <c r="C269" s="1016"/>
      <c r="D269" s="1016"/>
      <c r="E269" s="1016"/>
      <c r="F269" s="1016">
        <v>40</v>
      </c>
      <c r="G269" s="1016" t="s">
        <v>16</v>
      </c>
      <c r="H269" s="1026">
        <v>0</v>
      </c>
      <c r="I269" s="1025">
        <f t="shared" si="1"/>
        <v>0</v>
      </c>
    </row>
    <row r="270" spans="1:9">
      <c r="A270" s="1017" t="s">
        <v>338</v>
      </c>
      <c r="C270" s="1016">
        <v>1200</v>
      </c>
      <c r="D270" s="1016"/>
      <c r="E270" s="1016"/>
      <c r="F270" s="1016">
        <v>0</v>
      </c>
      <c r="G270" s="1016" t="s">
        <v>16</v>
      </c>
      <c r="H270" s="1026">
        <v>0</v>
      </c>
      <c r="I270" s="1025">
        <f t="shared" si="1"/>
        <v>0</v>
      </c>
    </row>
    <row r="271" spans="1:9">
      <c r="A271" s="1017" t="s">
        <v>338</v>
      </c>
      <c r="C271" s="1016">
        <v>600</v>
      </c>
      <c r="D271" s="1016"/>
      <c r="E271" s="1016"/>
      <c r="F271" s="1016">
        <v>4</v>
      </c>
      <c r="G271" s="1016" t="s">
        <v>16</v>
      </c>
      <c r="H271" s="1026">
        <v>0</v>
      </c>
      <c r="I271" s="1025">
        <f t="shared" si="1"/>
        <v>0</v>
      </c>
    </row>
    <row r="272" spans="1:9">
      <c r="A272" s="1017" t="s">
        <v>338</v>
      </c>
      <c r="C272" s="1016">
        <v>525</v>
      </c>
      <c r="D272" s="1016"/>
      <c r="E272" s="1016"/>
      <c r="F272" s="1016">
        <v>10</v>
      </c>
      <c r="G272" s="1016" t="s">
        <v>16</v>
      </c>
      <c r="H272" s="1026">
        <v>0</v>
      </c>
      <c r="I272" s="1027">
        <f t="shared" si="1"/>
        <v>0</v>
      </c>
    </row>
    <row r="273" spans="1:10">
      <c r="A273" s="1017" t="s">
        <v>338</v>
      </c>
      <c r="C273" s="1016">
        <v>450</v>
      </c>
      <c r="D273" s="1016"/>
      <c r="E273" s="1016"/>
      <c r="F273" s="1016">
        <v>6</v>
      </c>
      <c r="G273" s="1016" t="s">
        <v>16</v>
      </c>
      <c r="H273" s="1026">
        <v>0</v>
      </c>
      <c r="I273" s="1027">
        <f t="shared" si="1"/>
        <v>0</v>
      </c>
    </row>
    <row r="274" spans="1:10">
      <c r="A274" s="1017" t="s">
        <v>338</v>
      </c>
      <c r="C274" s="1016">
        <v>375</v>
      </c>
      <c r="D274" s="1016"/>
      <c r="E274" s="1016"/>
      <c r="F274" s="1016">
        <v>6</v>
      </c>
      <c r="G274" s="1016" t="s">
        <v>16</v>
      </c>
      <c r="H274" s="1026">
        <v>0</v>
      </c>
      <c r="I274" s="1027">
        <f t="shared" si="1"/>
        <v>0</v>
      </c>
    </row>
    <row r="275" spans="1:10">
      <c r="A275" s="1017" t="s">
        <v>338</v>
      </c>
      <c r="C275" s="1016">
        <v>300</v>
      </c>
      <c r="D275" s="1016"/>
      <c r="E275" s="1016"/>
      <c r="F275" s="1016">
        <v>33</v>
      </c>
      <c r="G275" s="1016" t="s">
        <v>16</v>
      </c>
      <c r="H275" s="1026">
        <v>0</v>
      </c>
      <c r="I275" s="1027">
        <f t="shared" si="1"/>
        <v>0</v>
      </c>
    </row>
    <row r="276" spans="1:10">
      <c r="A276" s="1017" t="s">
        <v>338</v>
      </c>
      <c r="C276" s="1016">
        <v>225</v>
      </c>
      <c r="D276" s="1016"/>
      <c r="E276" s="1016"/>
      <c r="F276" s="1016">
        <v>109</v>
      </c>
      <c r="G276" s="1016" t="s">
        <v>16</v>
      </c>
      <c r="H276" s="1026">
        <v>0</v>
      </c>
      <c r="I276" s="1027">
        <f t="shared" si="1"/>
        <v>0</v>
      </c>
    </row>
    <row r="277" spans="1:10">
      <c r="A277" s="1017" t="s">
        <v>338</v>
      </c>
      <c r="C277" s="1016">
        <v>150</v>
      </c>
      <c r="D277" s="1016"/>
      <c r="E277" s="1016"/>
      <c r="F277" s="1016">
        <v>24</v>
      </c>
      <c r="G277" s="1016" t="s">
        <v>16</v>
      </c>
      <c r="H277" s="1026">
        <v>0</v>
      </c>
      <c r="I277" s="1027">
        <f t="shared" si="1"/>
        <v>0</v>
      </c>
    </row>
    <row r="278" spans="1:10">
      <c r="A278" s="1017"/>
      <c r="C278" s="1016"/>
      <c r="D278" s="1016"/>
      <c r="E278" s="1016"/>
      <c r="F278" s="1016"/>
      <c r="G278" s="1016"/>
      <c r="H278" s="1016"/>
      <c r="I278" s="1021"/>
    </row>
    <row r="279" spans="1:10" ht="13" thickBot="1">
      <c r="A279" s="1017"/>
      <c r="C279" s="1016"/>
      <c r="D279" s="1016"/>
      <c r="E279" s="1016"/>
      <c r="F279" s="1016"/>
      <c r="G279" s="1016"/>
      <c r="H279" s="1016"/>
      <c r="I279" s="1024">
        <f>SUM(I268:I278)</f>
        <v>0</v>
      </c>
    </row>
    <row r="280" spans="1:10" ht="13" thickTop="1">
      <c r="A280" s="1017"/>
      <c r="C280" s="1016"/>
      <c r="D280" s="1016"/>
      <c r="E280" s="1016"/>
      <c r="F280" s="1016"/>
      <c r="G280" s="1016"/>
      <c r="H280" s="1016"/>
      <c r="I280" s="1021"/>
    </row>
    <row r="281" spans="1:10">
      <c r="A281" s="1017"/>
      <c r="C281" s="1016"/>
      <c r="D281" s="1016"/>
      <c r="E281" s="1016"/>
      <c r="F281" s="1016"/>
      <c r="G281" s="1016"/>
      <c r="H281" s="1016"/>
      <c r="I281" s="1021"/>
    </row>
    <row r="282" spans="1:10">
      <c r="A282" s="1028" t="s">
        <v>1121</v>
      </c>
      <c r="C282" s="1016"/>
      <c r="D282" s="1016"/>
      <c r="E282" s="1016"/>
      <c r="F282" s="1016"/>
      <c r="G282" s="1016"/>
      <c r="H282" s="1016"/>
      <c r="I282" s="1021"/>
    </row>
    <row r="283" spans="1:10">
      <c r="A283" s="1017"/>
      <c r="C283" s="1016"/>
      <c r="D283" s="1016"/>
      <c r="E283" s="1016"/>
      <c r="F283" s="1016"/>
      <c r="G283" s="1016"/>
      <c r="H283" s="1016"/>
      <c r="I283" s="1021"/>
    </row>
    <row r="284" spans="1:10">
      <c r="A284" s="1017" t="s">
        <v>1120</v>
      </c>
      <c r="C284" s="1016"/>
      <c r="D284" s="1016"/>
      <c r="E284" s="1016"/>
      <c r="F284" s="1016">
        <v>83</v>
      </c>
      <c r="G284" s="1016" t="s">
        <v>16</v>
      </c>
      <c r="H284" s="1040">
        <v>0</v>
      </c>
      <c r="I284" s="1015">
        <f>SUM(F284*H284)</f>
        <v>0</v>
      </c>
    </row>
    <row r="285" spans="1:10">
      <c r="A285" s="1017" t="s">
        <v>1119</v>
      </c>
      <c r="C285" s="1016"/>
      <c r="D285" s="1016"/>
      <c r="E285" s="1016"/>
      <c r="F285" s="1016">
        <v>20</v>
      </c>
      <c r="G285" s="1016" t="s">
        <v>4</v>
      </c>
      <c r="H285" s="1040">
        <v>0</v>
      </c>
      <c r="I285" s="1015">
        <f>SUM(F285*H285)</f>
        <v>0</v>
      </c>
    </row>
    <row r="286" spans="1:10">
      <c r="A286" s="1017"/>
      <c r="C286" s="1016"/>
      <c r="D286" s="1016"/>
      <c r="E286" s="1016"/>
      <c r="F286" s="1016"/>
      <c r="G286" s="1016"/>
      <c r="H286" s="1016"/>
      <c r="I286" s="1021"/>
    </row>
    <row r="287" spans="1:10" ht="13" thickBot="1">
      <c r="A287" s="1017"/>
      <c r="C287" s="1016"/>
      <c r="D287" s="1016"/>
      <c r="E287" s="1016"/>
      <c r="F287" s="1016"/>
      <c r="G287" s="1016"/>
      <c r="H287" s="1016"/>
      <c r="I287" s="1039">
        <f>SUM(I283:I286)</f>
        <v>0</v>
      </c>
    </row>
    <row r="288" spans="1:10" ht="13" thickTop="1">
      <c r="A288" s="1038"/>
      <c r="B288" s="1035"/>
      <c r="C288" s="1037"/>
      <c r="D288" s="1037"/>
      <c r="E288" s="1037"/>
      <c r="F288" s="1037"/>
      <c r="G288" s="1037"/>
      <c r="H288" s="1037"/>
      <c r="I288" s="1036"/>
      <c r="J288" s="1035"/>
    </row>
    <row r="289" spans="1:9">
      <c r="A289" s="1017"/>
      <c r="C289" s="1016"/>
      <c r="D289" s="1016"/>
      <c r="E289" s="1016"/>
      <c r="F289" s="1016"/>
      <c r="G289" s="1016"/>
      <c r="H289" s="1016"/>
      <c r="I289" s="1021"/>
    </row>
    <row r="290" spans="1:9">
      <c r="A290" s="1028" t="s">
        <v>1118</v>
      </c>
      <c r="C290" s="1016"/>
      <c r="D290" s="1016"/>
      <c r="E290" s="1016"/>
      <c r="F290" s="1016"/>
      <c r="G290" s="1016"/>
      <c r="H290" s="1016"/>
      <c r="I290" s="1021"/>
    </row>
    <row r="291" spans="1:9">
      <c r="A291" s="1017"/>
      <c r="C291" s="1016"/>
      <c r="D291" s="1016"/>
      <c r="E291" s="1016"/>
      <c r="F291" s="1016"/>
      <c r="G291" s="1016"/>
      <c r="H291" s="1016"/>
      <c r="I291" s="1021"/>
    </row>
    <row r="292" spans="1:9">
      <c r="A292" s="1017" t="s">
        <v>1296</v>
      </c>
      <c r="C292" s="1016"/>
      <c r="D292" s="1016"/>
      <c r="E292" s="1016"/>
      <c r="F292" s="1016">
        <v>12</v>
      </c>
      <c r="G292" s="1016" t="s">
        <v>16</v>
      </c>
      <c r="H292" s="1026">
        <v>0</v>
      </c>
      <c r="I292" s="1027">
        <f>SUM(F292*H292)</f>
        <v>0</v>
      </c>
    </row>
    <row r="293" spans="1:9">
      <c r="A293" s="1017"/>
      <c r="C293" s="1016"/>
      <c r="D293" s="1016"/>
      <c r="E293" s="1016"/>
      <c r="F293" s="1016"/>
      <c r="G293" s="1016"/>
      <c r="H293" s="1026"/>
      <c r="I293" s="1027"/>
    </row>
    <row r="294" spans="1:9">
      <c r="A294" s="1017" t="s">
        <v>1295</v>
      </c>
      <c r="C294" s="1016"/>
      <c r="D294" s="1016"/>
      <c r="E294" s="1016"/>
      <c r="F294" s="1016">
        <v>3</v>
      </c>
      <c r="G294" s="1016" t="s">
        <v>16</v>
      </c>
      <c r="H294" s="1026">
        <v>0</v>
      </c>
      <c r="I294" s="1027">
        <f>SUM(F294*H294)</f>
        <v>0</v>
      </c>
    </row>
    <row r="295" spans="1:9">
      <c r="A295" s="1017"/>
      <c r="C295" s="1016"/>
      <c r="D295" s="1016"/>
      <c r="E295" s="1016"/>
      <c r="F295" s="1016"/>
      <c r="G295" s="1016"/>
      <c r="H295" s="1026"/>
      <c r="I295" s="1027"/>
    </row>
    <row r="296" spans="1:9" ht="13" thickBot="1">
      <c r="A296" s="1017"/>
      <c r="C296" s="1016"/>
      <c r="D296" s="1016"/>
      <c r="E296" s="1016"/>
      <c r="F296" s="1016"/>
      <c r="G296" s="1016"/>
      <c r="H296" s="1016"/>
      <c r="I296" s="1024">
        <f>SUM(I292:I295)</f>
        <v>0</v>
      </c>
    </row>
    <row r="297" spans="1:9" ht="13" thickTop="1">
      <c r="A297" s="1017"/>
      <c r="C297" s="1016"/>
      <c r="D297" s="1016"/>
      <c r="E297" s="1016"/>
      <c r="F297" s="1016"/>
      <c r="G297" s="1016"/>
      <c r="H297" s="1016"/>
      <c r="I297" s="1021"/>
    </row>
    <row r="298" spans="1:9" ht="4.5" customHeight="1">
      <c r="A298" s="1020"/>
      <c r="B298" s="1019"/>
      <c r="C298" s="1023"/>
      <c r="D298" s="1023"/>
      <c r="E298" s="1023"/>
      <c r="F298" s="1023"/>
      <c r="G298" s="1023"/>
      <c r="H298" s="1023"/>
      <c r="I298" s="1022"/>
    </row>
    <row r="299" spans="1:9">
      <c r="A299" s="1017"/>
      <c r="C299" s="1016"/>
      <c r="D299" s="1016"/>
      <c r="E299" s="1016"/>
      <c r="F299" s="1016"/>
      <c r="G299" s="1016"/>
      <c r="H299" s="1016"/>
      <c r="I299" s="1021"/>
    </row>
    <row r="300" spans="1:9" ht="4.5" customHeight="1">
      <c r="A300" s="1020"/>
      <c r="B300" s="1019"/>
      <c r="C300" s="1019"/>
      <c r="D300" s="1019"/>
      <c r="E300" s="1019"/>
      <c r="F300" s="1019"/>
      <c r="G300" s="1019"/>
      <c r="H300" s="1019"/>
      <c r="I300" s="1018"/>
    </row>
    <row r="301" spans="1:9" ht="15.75" customHeight="1">
      <c r="A301" s="1017"/>
      <c r="G301" s="1160">
        <f>SUM(I134,I263,I279,I287,I296)</f>
        <v>0</v>
      </c>
      <c r="H301" s="1161"/>
      <c r="I301" s="1162"/>
    </row>
    <row r="302" spans="1:9" ht="19.5" customHeight="1">
      <c r="A302" s="1169" t="s">
        <v>1294</v>
      </c>
      <c r="B302" s="1170"/>
      <c r="C302" s="1170"/>
      <c r="D302" s="1170"/>
      <c r="E302" s="1170"/>
      <c r="F302" s="1171"/>
      <c r="G302" s="1163"/>
      <c r="H302" s="1164"/>
      <c r="I302" s="1165"/>
    </row>
    <row r="303" spans="1:9" ht="16.5" customHeight="1" thickBot="1">
      <c r="A303" s="1014"/>
      <c r="B303" s="1013"/>
      <c r="C303" s="1013"/>
      <c r="D303" s="1013"/>
      <c r="E303" s="1013"/>
      <c r="F303" s="1013"/>
      <c r="G303" s="1166"/>
      <c r="H303" s="1167"/>
      <c r="I303" s="1168"/>
    </row>
  </sheetData>
  <sortState xmlns:xlrd2="http://schemas.microsoft.com/office/spreadsheetml/2017/richdata2" ref="A9:J123">
    <sortCondition ref="C9:C123"/>
  </sortState>
  <mergeCells count="3">
    <mergeCell ref="A3:I4"/>
    <mergeCell ref="G301:I303"/>
    <mergeCell ref="A302:F30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2" fitToHeight="0" orientation="portrait" r:id="rId1"/>
  <headerFooter>
    <oddHeader>&amp;F</oddHeader>
    <oddFooter>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6" tint="0.39997558519241921"/>
    <pageSetUpPr fitToPage="1"/>
  </sheetPr>
  <dimension ref="A1:AW540"/>
  <sheetViews>
    <sheetView topLeftCell="B1" workbookViewId="0">
      <selection activeCell="L1" sqref="L1:S1048576"/>
    </sheetView>
  </sheetViews>
  <sheetFormatPr baseColWidth="10" defaultColWidth="8.83203125" defaultRowHeight="15"/>
  <cols>
    <col min="1" max="1" width="4" customWidth="1"/>
    <col min="6" max="6" width="12.1640625" customWidth="1"/>
    <col min="7" max="7" width="11.1640625" bestFit="1" customWidth="1"/>
    <col min="8" max="8" width="6.5" customWidth="1"/>
    <col min="9" max="9" width="10.33203125" customWidth="1"/>
    <col min="10" max="10" width="13.5" customWidth="1"/>
    <col min="11" max="11" width="1.83203125" customWidth="1"/>
    <col min="12" max="12" width="14.1640625" hidden="1" customWidth="1"/>
    <col min="13" max="19" width="11.6640625" hidden="1" customWidth="1"/>
    <col min="21" max="21" width="13.5" customWidth="1"/>
    <col min="22" max="22" width="13.5" style="22" customWidth="1"/>
    <col min="23" max="23" width="9.1640625" customWidth="1"/>
    <col min="24" max="26" width="13.5" style="11" customWidth="1"/>
    <col min="27" max="29" width="13.5" customWidth="1"/>
    <col min="30" max="30" width="0.1640625" customWidth="1"/>
    <col min="31" max="31" width="19.33203125" hidden="1" customWidth="1"/>
    <col min="32" max="34" width="4.6640625" hidden="1" customWidth="1"/>
    <col min="35" max="35" width="14.6640625" hidden="1" customWidth="1"/>
    <col min="36" max="38" width="14.33203125" hidden="1" customWidth="1"/>
    <col min="39" max="40" width="14.33203125" customWidth="1"/>
    <col min="41" max="41" width="9.83203125" bestFit="1" customWidth="1"/>
    <col min="46" max="46" width="42.5" customWidth="1"/>
    <col min="49" max="49" width="22.6640625" customWidth="1"/>
  </cols>
  <sheetData>
    <row r="1" spans="1:49" s="1" customFormat="1">
      <c r="V1" s="560"/>
      <c r="X1" s="81"/>
      <c r="Z1" s="81"/>
    </row>
    <row r="2" spans="1:49" s="1" customFormat="1" ht="15" customHeight="1">
      <c r="B2" s="1" t="str">
        <f>'Breakdown Summary'!B2</f>
        <v>Trows Farm, Castleton</v>
      </c>
      <c r="G2" s="1" t="str">
        <f>'Breakdown Summary'!G2</f>
        <v>Date</v>
      </c>
      <c r="H2" s="1045">
        <f>'Breakdown Summary'!H2</f>
        <v>45453</v>
      </c>
      <c r="I2" s="1045"/>
      <c r="J2" s="1" t="str">
        <f>'Breakdown Summary'!J2</f>
        <v>Ver - 6</v>
      </c>
      <c r="S2" s="49"/>
      <c r="V2" s="560"/>
      <c r="X2" s="81"/>
      <c r="Y2" s="81"/>
      <c r="Z2" s="81"/>
      <c r="AL2" s="49"/>
    </row>
    <row r="3" spans="1:49" s="1" customFormat="1">
      <c r="B3" s="1" t="str">
        <f>'Breakdown Summary'!B3</f>
        <v>Cowm Top Lane, Rochdale</v>
      </c>
      <c r="G3" s="1" t="str">
        <f>'Breakdown Summary'!H3</f>
        <v>Breakdown of Abnormal Costs</v>
      </c>
      <c r="V3" s="560" t="s">
        <v>26</v>
      </c>
      <c r="W3" s="1" t="s">
        <v>184</v>
      </c>
      <c r="X3" s="81" t="s">
        <v>223</v>
      </c>
      <c r="Y3" s="81" t="s">
        <v>182</v>
      </c>
      <c r="Z3" s="81" t="s">
        <v>938</v>
      </c>
      <c r="AA3" s="1" t="s">
        <v>934</v>
      </c>
    </row>
    <row r="4" spans="1:49" s="1" customFormat="1" ht="15.75" customHeight="1">
      <c r="V4" s="816"/>
      <c r="W4" s="21"/>
      <c r="X4" s="21" t="s">
        <v>935</v>
      </c>
      <c r="Y4" s="21" t="s">
        <v>936</v>
      </c>
      <c r="Z4" s="21" t="s">
        <v>937</v>
      </c>
      <c r="AA4" s="21" t="s">
        <v>142</v>
      </c>
    </row>
    <row r="5" spans="1:49" s="1" customFormat="1">
      <c r="A5" s="1046" t="s">
        <v>0</v>
      </c>
      <c r="B5" s="1054" t="s">
        <v>1</v>
      </c>
      <c r="C5" s="1055"/>
      <c r="D5" s="1055"/>
      <c r="E5" s="1055"/>
      <c r="F5" s="1056"/>
      <c r="G5" s="1046" t="s">
        <v>6</v>
      </c>
      <c r="H5" s="1046" t="s">
        <v>5</v>
      </c>
      <c r="I5" s="1046" t="s">
        <v>2</v>
      </c>
      <c r="J5" s="1046" t="s">
        <v>3</v>
      </c>
      <c r="L5" s="1124" t="str">
        <f>'Breakdown Summary'!L5:S5</f>
        <v>Phasing Breakdown</v>
      </c>
      <c r="M5" s="1125"/>
      <c r="N5" s="1125"/>
      <c r="O5" s="1125"/>
      <c r="P5" s="1125"/>
      <c r="Q5" s="1125"/>
      <c r="R5" s="1125"/>
      <c r="S5" s="1126"/>
      <c r="U5" s="195"/>
      <c r="V5" s="816" t="s">
        <v>770</v>
      </c>
      <c r="W5" s="21"/>
      <c r="X5" s="21"/>
      <c r="Y5" s="21"/>
      <c r="Z5" s="21"/>
      <c r="AA5" s="21"/>
      <c r="AB5" s="195"/>
      <c r="AC5" s="195"/>
      <c r="AE5" s="1124" t="s">
        <v>17</v>
      </c>
      <c r="AF5" s="1125"/>
      <c r="AG5" s="1125"/>
      <c r="AH5" s="1125"/>
      <c r="AI5" s="1125"/>
      <c r="AJ5" s="1125"/>
      <c r="AK5" s="1125"/>
      <c r="AL5" s="1126"/>
    </row>
    <row r="6" spans="1:49" s="1" customFormat="1" ht="14" customHeight="1">
      <c r="A6" s="1047"/>
      <c r="B6" s="1057"/>
      <c r="C6" s="1058"/>
      <c r="D6" s="1058"/>
      <c r="E6" s="1058"/>
      <c r="F6" s="1059"/>
      <c r="G6" s="1047"/>
      <c r="H6" s="1047"/>
      <c r="I6" s="1047"/>
      <c r="J6" s="1047"/>
      <c r="L6" s="1127" t="str">
        <f>'Breakdown Summary'!L6</f>
        <v>Site 1</v>
      </c>
      <c r="M6" s="1128"/>
      <c r="N6" s="1127">
        <f>'Breakdown Summary'!N6</f>
        <v>0</v>
      </c>
      <c r="O6" s="1128"/>
      <c r="P6" s="1063">
        <f>'Breakdown Summary'!P6:P7</f>
        <v>0</v>
      </c>
      <c r="Q6" s="1063">
        <f>'Breakdown Summary'!Q6:Q7</f>
        <v>0</v>
      </c>
      <c r="R6" s="1063">
        <f>'Breakdown Summary'!R6:R7</f>
        <v>0</v>
      </c>
      <c r="S6" s="1063">
        <f>'Breakdown Summary'!S6:S7</f>
        <v>0</v>
      </c>
      <c r="U6" s="195"/>
      <c r="V6" s="816">
        <v>1</v>
      </c>
      <c r="W6" s="21" t="s">
        <v>935</v>
      </c>
      <c r="X6" s="21">
        <f>IF($W6=X$4,1,"")</f>
        <v>1</v>
      </c>
      <c r="Y6" s="21" t="str">
        <f t="shared" ref="Y6:AA21" si="0">IF($W6=Y$4,1,"")</f>
        <v/>
      </c>
      <c r="Z6" s="21" t="str">
        <f t="shared" si="0"/>
        <v/>
      </c>
      <c r="AA6" s="21" t="str">
        <f t="shared" si="0"/>
        <v/>
      </c>
      <c r="AB6" s="195"/>
      <c r="AC6" s="195"/>
      <c r="AE6" s="1127" t="s">
        <v>15</v>
      </c>
      <c r="AF6" s="1140"/>
      <c r="AG6" s="1140"/>
      <c r="AH6" s="1140"/>
      <c r="AI6" s="1128"/>
      <c r="AJ6" s="1063" t="s">
        <v>12</v>
      </c>
      <c r="AK6" s="1063" t="s">
        <v>13</v>
      </c>
      <c r="AL6" s="1063" t="s">
        <v>14</v>
      </c>
    </row>
    <row r="7" spans="1:49">
      <c r="A7" s="1047"/>
      <c r="B7" s="1057"/>
      <c r="C7" s="1058"/>
      <c r="D7" s="1058"/>
      <c r="E7" s="1058"/>
      <c r="F7" s="1059"/>
      <c r="G7" s="1047"/>
      <c r="H7" s="1047"/>
      <c r="I7" s="1047"/>
      <c r="J7" s="1047"/>
      <c r="L7" s="59" t="str">
        <f>'Breakdown Summary'!L7</f>
        <v>Barratt</v>
      </c>
      <c r="M7" s="59" t="str">
        <f>'Breakdown Summary'!M7</f>
        <v>David Wilson</v>
      </c>
      <c r="N7" s="59" t="str">
        <f>'Breakdown Summary'!N7</f>
        <v>Phs</v>
      </c>
      <c r="O7" s="59" t="str">
        <f>'Breakdown Summary'!O7</f>
        <v>Phs</v>
      </c>
      <c r="P7" s="1065"/>
      <c r="Q7" s="1065"/>
      <c r="R7" s="1065"/>
      <c r="S7" s="1065"/>
      <c r="U7" s="195"/>
      <c r="V7" s="816">
        <v>2</v>
      </c>
      <c r="W7" s="21" t="s">
        <v>936</v>
      </c>
      <c r="X7" s="21" t="str">
        <f>IF($W7=X$4,1,"")</f>
        <v/>
      </c>
      <c r="Y7" s="21">
        <f t="shared" si="0"/>
        <v>1</v>
      </c>
      <c r="Z7" s="21" t="str">
        <f t="shared" si="0"/>
        <v/>
      </c>
      <c r="AA7" s="21" t="str">
        <f t="shared" si="0"/>
        <v/>
      </c>
      <c r="AB7" s="195"/>
      <c r="AC7" s="195"/>
      <c r="AE7" s="59">
        <v>1</v>
      </c>
      <c r="AF7" s="59">
        <v>2</v>
      </c>
      <c r="AG7" s="59">
        <v>3</v>
      </c>
      <c r="AH7" s="59">
        <v>4</v>
      </c>
      <c r="AI7" s="59">
        <v>5</v>
      </c>
      <c r="AJ7" s="1065"/>
      <c r="AK7" s="1065"/>
      <c r="AL7" s="1065"/>
    </row>
    <row r="8" spans="1:49" s="1" customFormat="1">
      <c r="A8" s="1048"/>
      <c r="B8" s="1060"/>
      <c r="C8" s="1061"/>
      <c r="D8" s="1061"/>
      <c r="E8" s="1061"/>
      <c r="F8" s="1062"/>
      <c r="G8" s="1048"/>
      <c r="H8" s="1048"/>
      <c r="I8" s="1048"/>
      <c r="J8" s="1048"/>
      <c r="L8" s="242">
        <f>'Breakdown Summary'!L13</f>
        <v>19.11</v>
      </c>
      <c r="M8" s="242">
        <f>'Breakdown Summary'!M13</f>
        <v>10.009886307464162</v>
      </c>
      <c r="N8" s="242">
        <f>'Breakdown Summary'!N13</f>
        <v>0</v>
      </c>
      <c r="O8" s="242">
        <f>'Breakdown Summary'!O13</f>
        <v>0</v>
      </c>
      <c r="P8" s="62">
        <f>'Breakdown Summary'!P13</f>
        <v>0</v>
      </c>
      <c r="Q8" s="60"/>
      <c r="R8" s="61"/>
      <c r="S8" s="61"/>
      <c r="U8" s="195"/>
      <c r="V8" s="816">
        <v>3</v>
      </c>
      <c r="W8" s="21" t="s">
        <v>936</v>
      </c>
      <c r="X8" s="21" t="str">
        <f t="shared" ref="X8:AA71" si="1">IF($W8=X$4,1,"")</f>
        <v/>
      </c>
      <c r="Y8" s="21">
        <f t="shared" si="0"/>
        <v>1</v>
      </c>
      <c r="Z8" s="21" t="str">
        <f t="shared" si="0"/>
        <v/>
      </c>
      <c r="AA8" s="21" t="str">
        <f t="shared" si="0"/>
        <v/>
      </c>
      <c r="AB8" s="195"/>
      <c r="AC8" s="195"/>
      <c r="AE8" s="62">
        <v>1</v>
      </c>
      <c r="AF8" s="62">
        <v>0</v>
      </c>
      <c r="AG8" s="62">
        <v>0</v>
      </c>
      <c r="AH8" s="62">
        <v>0</v>
      </c>
      <c r="AI8" s="62">
        <v>0</v>
      </c>
      <c r="AJ8" s="60">
        <v>0</v>
      </c>
      <c r="AK8" s="61">
        <v>0</v>
      </c>
      <c r="AL8" s="61">
        <v>0</v>
      </c>
    </row>
    <row r="9" spans="1:49">
      <c r="A9" s="16"/>
      <c r="B9" s="3"/>
      <c r="C9" s="4"/>
      <c r="D9" s="4"/>
      <c r="E9" s="4"/>
      <c r="F9" s="5"/>
      <c r="G9" s="11"/>
      <c r="H9" s="12"/>
      <c r="I9" s="21"/>
      <c r="J9" s="12"/>
      <c r="L9" s="3"/>
      <c r="M9" s="58"/>
      <c r="N9" s="4"/>
      <c r="O9" s="58"/>
      <c r="P9" s="4"/>
      <c r="Q9" s="58"/>
      <c r="R9" s="58"/>
      <c r="S9" s="5"/>
      <c r="U9" s="21"/>
      <c r="V9" s="816">
        <v>4</v>
      </c>
      <c r="W9" s="21" t="s">
        <v>936</v>
      </c>
      <c r="X9" s="21" t="str">
        <f t="shared" si="1"/>
        <v/>
      </c>
      <c r="Y9" s="21">
        <f t="shared" si="0"/>
        <v>1</v>
      </c>
      <c r="Z9" s="21" t="str">
        <f t="shared" si="0"/>
        <v/>
      </c>
      <c r="AA9" s="21" t="str">
        <f t="shared" si="0"/>
        <v/>
      </c>
      <c r="AB9" s="21"/>
      <c r="AC9" s="21"/>
      <c r="AE9" s="3"/>
      <c r="AF9" s="58"/>
      <c r="AG9" s="4"/>
      <c r="AH9" s="58"/>
      <c r="AI9" s="4"/>
      <c r="AJ9" s="58"/>
      <c r="AK9" s="58"/>
      <c r="AL9" s="5"/>
    </row>
    <row r="10" spans="1:49">
      <c r="A10" s="19">
        <v>9</v>
      </c>
      <c r="B10" s="20" t="s">
        <v>8</v>
      </c>
      <c r="F10" s="7"/>
      <c r="G10" s="11"/>
      <c r="H10" s="13"/>
      <c r="I10" s="21"/>
      <c r="J10" s="13"/>
      <c r="L10" s="6"/>
      <c r="M10" s="2"/>
      <c r="O10" s="2"/>
      <c r="Q10" s="2"/>
      <c r="R10" s="2"/>
      <c r="S10" s="7"/>
      <c r="U10" s="21"/>
      <c r="V10" s="816">
        <v>5</v>
      </c>
      <c r="W10" s="21" t="s">
        <v>936</v>
      </c>
      <c r="X10" s="21" t="str">
        <f t="shared" si="1"/>
        <v/>
      </c>
      <c r="Y10" s="21">
        <f t="shared" si="0"/>
        <v>1</v>
      </c>
      <c r="Z10" s="21" t="str">
        <f t="shared" si="0"/>
        <v/>
      </c>
      <c r="AA10" s="21" t="str">
        <f t="shared" si="0"/>
        <v/>
      </c>
      <c r="AB10" s="21"/>
      <c r="AC10" s="21"/>
      <c r="AE10" s="6"/>
      <c r="AF10" s="2"/>
      <c r="AH10" s="2"/>
      <c r="AJ10" s="2"/>
      <c r="AK10" s="2"/>
      <c r="AL10" s="7"/>
      <c r="AT10" s="1"/>
      <c r="AU10" s="1"/>
      <c r="AV10" s="1"/>
      <c r="AW10" s="1"/>
    </row>
    <row r="11" spans="1:49">
      <c r="A11" s="19"/>
      <c r="B11" s="20"/>
      <c r="F11" s="7"/>
      <c r="G11" s="11"/>
      <c r="H11" s="13"/>
      <c r="I11" s="21"/>
      <c r="J11" s="13"/>
      <c r="L11" s="6"/>
      <c r="M11" s="2"/>
      <c r="O11" s="2"/>
      <c r="Q11" s="2"/>
      <c r="R11" s="2"/>
      <c r="S11" s="7"/>
      <c r="U11" s="21"/>
      <c r="V11" s="816">
        <v>6</v>
      </c>
      <c r="W11" s="21" t="s">
        <v>936</v>
      </c>
      <c r="X11" s="21" t="str">
        <f t="shared" si="1"/>
        <v/>
      </c>
      <c r="Y11" s="21">
        <f t="shared" si="0"/>
        <v>1</v>
      </c>
      <c r="Z11" s="21" t="str">
        <f t="shared" si="0"/>
        <v/>
      </c>
      <c r="AA11" s="21" t="str">
        <f t="shared" si="0"/>
        <v/>
      </c>
      <c r="AB11" s="21"/>
      <c r="AC11" s="21"/>
      <c r="AE11" s="6"/>
      <c r="AF11" s="2"/>
      <c r="AH11" s="2"/>
      <c r="AJ11" s="2"/>
      <c r="AK11" s="2"/>
      <c r="AL11" s="7"/>
    </row>
    <row r="12" spans="1:49">
      <c r="A12" s="17"/>
      <c r="B12" s="20"/>
      <c r="F12" s="7"/>
      <c r="G12" s="11"/>
      <c r="H12" s="13"/>
      <c r="I12" s="21"/>
      <c r="J12" s="13"/>
      <c r="L12" s="6"/>
      <c r="M12" s="2"/>
      <c r="O12" s="2"/>
      <c r="Q12" s="2"/>
      <c r="R12" s="2"/>
      <c r="S12" s="7"/>
      <c r="U12" s="21"/>
      <c r="V12" s="816">
        <v>7</v>
      </c>
      <c r="W12" s="21" t="s">
        <v>936</v>
      </c>
      <c r="X12" s="21" t="str">
        <f t="shared" si="1"/>
        <v/>
      </c>
      <c r="Y12" s="21">
        <f t="shared" si="0"/>
        <v>1</v>
      </c>
      <c r="Z12" s="21" t="str">
        <f t="shared" si="0"/>
        <v/>
      </c>
      <c r="AA12" s="21" t="str">
        <f t="shared" si="0"/>
        <v/>
      </c>
      <c r="AB12" s="21"/>
      <c r="AC12" s="21"/>
      <c r="AE12" s="6"/>
      <c r="AF12" s="2"/>
      <c r="AH12" s="2"/>
      <c r="AJ12" s="2"/>
      <c r="AK12" s="2"/>
      <c r="AL12" s="7"/>
      <c r="AT12" s="1"/>
      <c r="AU12" s="1"/>
      <c r="AV12" s="1"/>
      <c r="AW12" s="1"/>
    </row>
    <row r="13" spans="1:49">
      <c r="A13" s="17"/>
      <c r="B13" s="20" t="s">
        <v>168</v>
      </c>
      <c r="F13" s="7"/>
      <c r="G13" s="11"/>
      <c r="H13" s="13"/>
      <c r="I13" s="21"/>
      <c r="J13" s="13"/>
      <c r="L13" s="644">
        <f t="shared" ref="L13:L57" si="2">J13</f>
        <v>0</v>
      </c>
      <c r="M13" s="2"/>
      <c r="O13" s="2"/>
      <c r="Q13" s="2"/>
      <c r="R13" s="2"/>
      <c r="S13" s="7"/>
      <c r="U13" s="21"/>
      <c r="V13" s="816">
        <v>8</v>
      </c>
      <c r="W13" s="21" t="s">
        <v>935</v>
      </c>
      <c r="X13" s="21">
        <f t="shared" si="1"/>
        <v>1</v>
      </c>
      <c r="Y13" s="21" t="str">
        <f t="shared" si="0"/>
        <v/>
      </c>
      <c r="Z13" s="21" t="str">
        <f t="shared" si="0"/>
        <v/>
      </c>
      <c r="AA13" s="21" t="str">
        <f t="shared" si="0"/>
        <v/>
      </c>
      <c r="AB13" s="21"/>
      <c r="AC13" s="21"/>
      <c r="AE13" s="6"/>
      <c r="AF13" s="2"/>
      <c r="AH13" s="2"/>
      <c r="AJ13" s="2"/>
      <c r="AK13" s="2"/>
      <c r="AL13" s="7"/>
    </row>
    <row r="14" spans="1:49">
      <c r="A14" s="17"/>
      <c r="B14" s="20"/>
      <c r="F14" s="7"/>
      <c r="G14" s="11"/>
      <c r="H14" s="13"/>
      <c r="I14" s="21"/>
      <c r="J14" s="13"/>
      <c r="L14" s="644">
        <f t="shared" si="2"/>
        <v>0</v>
      </c>
      <c r="M14" s="2"/>
      <c r="O14" s="2"/>
      <c r="Q14" s="2"/>
      <c r="R14" s="2"/>
      <c r="S14" s="7"/>
      <c r="U14" s="21"/>
      <c r="V14" s="816">
        <v>9</v>
      </c>
      <c r="W14" s="21" t="s">
        <v>935</v>
      </c>
      <c r="X14" s="21">
        <f t="shared" si="1"/>
        <v>1</v>
      </c>
      <c r="Y14" s="21" t="str">
        <f t="shared" si="0"/>
        <v/>
      </c>
      <c r="Z14" s="21" t="str">
        <f t="shared" si="0"/>
        <v/>
      </c>
      <c r="AA14" s="21" t="str">
        <f t="shared" si="0"/>
        <v/>
      </c>
      <c r="AB14" s="21"/>
      <c r="AC14" s="21"/>
      <c r="AE14" s="6"/>
      <c r="AF14" s="2"/>
      <c r="AH14" s="2"/>
      <c r="AJ14" s="2"/>
      <c r="AK14" s="2"/>
      <c r="AL14" s="7"/>
      <c r="AT14" s="1"/>
      <c r="AU14" s="1"/>
      <c r="AV14" s="1"/>
      <c r="AW14" s="1"/>
    </row>
    <row r="15" spans="1:49">
      <c r="A15" s="17"/>
      <c r="B15" t="s">
        <v>169</v>
      </c>
      <c r="F15" s="86">
        <f>Y508</f>
        <v>227</v>
      </c>
      <c r="G15" s="11"/>
      <c r="H15" s="13"/>
      <c r="I15" s="21"/>
      <c r="J15" s="13"/>
      <c r="L15" s="644">
        <f t="shared" si="2"/>
        <v>0</v>
      </c>
      <c r="M15" s="2"/>
      <c r="O15" s="2"/>
      <c r="Q15" s="2"/>
      <c r="R15" s="2"/>
      <c r="S15" s="7"/>
      <c r="U15" s="21"/>
      <c r="V15" s="816">
        <v>10</v>
      </c>
      <c r="W15" s="21" t="s">
        <v>935</v>
      </c>
      <c r="X15" s="21">
        <f t="shared" si="1"/>
        <v>1</v>
      </c>
      <c r="Y15" s="21" t="str">
        <f t="shared" si="0"/>
        <v/>
      </c>
      <c r="Z15" s="21" t="str">
        <f t="shared" si="0"/>
        <v/>
      </c>
      <c r="AA15" s="21" t="str">
        <f t="shared" si="0"/>
        <v/>
      </c>
      <c r="AB15" s="21"/>
      <c r="AC15" s="21"/>
      <c r="AE15" s="6"/>
      <c r="AF15" s="2"/>
      <c r="AH15" s="2"/>
      <c r="AJ15" s="2"/>
      <c r="AK15" s="2"/>
      <c r="AL15" s="7"/>
    </row>
    <row r="16" spans="1:49">
      <c r="A16" s="17"/>
      <c r="F16" s="7"/>
      <c r="G16" s="11"/>
      <c r="H16" s="13"/>
      <c r="I16" s="21"/>
      <c r="J16" s="13"/>
      <c r="L16" s="644">
        <f t="shared" si="2"/>
        <v>0</v>
      </c>
      <c r="M16" s="2"/>
      <c r="O16" s="2"/>
      <c r="Q16" s="2"/>
      <c r="R16" s="2"/>
      <c r="S16" s="7"/>
      <c r="U16" s="21"/>
      <c r="V16" s="816">
        <v>11</v>
      </c>
      <c r="W16" s="21" t="s">
        <v>935</v>
      </c>
      <c r="X16" s="21">
        <f t="shared" si="1"/>
        <v>1</v>
      </c>
      <c r="Y16" s="21" t="str">
        <f t="shared" si="0"/>
        <v/>
      </c>
      <c r="Z16" s="21" t="str">
        <f t="shared" si="0"/>
        <v/>
      </c>
      <c r="AA16" s="21" t="str">
        <f t="shared" si="0"/>
        <v/>
      </c>
      <c r="AB16" s="21"/>
      <c r="AC16" s="21"/>
      <c r="AE16" s="6"/>
      <c r="AF16" s="2"/>
      <c r="AH16" s="2"/>
      <c r="AJ16" s="2"/>
      <c r="AK16" s="2"/>
      <c r="AL16" s="7"/>
      <c r="AT16" s="1"/>
      <c r="AU16" s="1"/>
      <c r="AV16" s="1"/>
      <c r="AW16" s="1"/>
    </row>
    <row r="17" spans="1:49">
      <c r="A17" s="17"/>
      <c r="C17" t="s">
        <v>124</v>
      </c>
      <c r="E17" t="s">
        <v>180</v>
      </c>
      <c r="F17" s="7">
        <v>3</v>
      </c>
      <c r="G17" s="11">
        <v>3</v>
      </c>
      <c r="H17" s="13" t="s">
        <v>19</v>
      </c>
      <c r="I17" s="21">
        <v>2500</v>
      </c>
      <c r="J17" s="13">
        <f t="shared" ref="J17:J22" si="3">G17*I17</f>
        <v>7500</v>
      </c>
      <c r="L17" s="644">
        <f t="shared" si="2"/>
        <v>7500</v>
      </c>
      <c r="M17" s="2"/>
      <c r="O17" s="2"/>
      <c r="Q17" s="2"/>
      <c r="R17" s="2"/>
      <c r="S17" s="7"/>
      <c r="U17" s="21"/>
      <c r="V17" s="816">
        <v>12</v>
      </c>
      <c r="W17" s="21" t="s">
        <v>935</v>
      </c>
      <c r="X17" s="21">
        <f t="shared" si="1"/>
        <v>1</v>
      </c>
      <c r="Y17" s="21" t="str">
        <f t="shared" si="0"/>
        <v/>
      </c>
      <c r="Z17" s="21" t="str">
        <f t="shared" si="0"/>
        <v/>
      </c>
      <c r="AA17" s="21" t="str">
        <f t="shared" si="0"/>
        <v/>
      </c>
      <c r="AB17" s="21"/>
      <c r="AC17" s="21"/>
      <c r="AE17" s="6"/>
      <c r="AF17" s="2"/>
      <c r="AH17" s="2"/>
      <c r="AJ17" s="2"/>
      <c r="AK17" s="2"/>
      <c r="AL17" s="7"/>
    </row>
    <row r="18" spans="1:49">
      <c r="A18" s="17"/>
      <c r="C18" t="s">
        <v>175</v>
      </c>
      <c r="F18" s="7"/>
      <c r="G18" s="11">
        <f>F15*12</f>
        <v>2724</v>
      </c>
      <c r="H18" s="13" t="s">
        <v>19</v>
      </c>
      <c r="I18" s="21">
        <v>64.2</v>
      </c>
      <c r="J18" s="13">
        <f t="shared" si="3"/>
        <v>174880.80000000002</v>
      </c>
      <c r="L18" s="644">
        <f t="shared" si="2"/>
        <v>174880.80000000002</v>
      </c>
      <c r="M18" s="2"/>
      <c r="O18" s="2"/>
      <c r="Q18" s="2"/>
      <c r="R18" s="2"/>
      <c r="S18" s="7"/>
      <c r="U18" s="21"/>
      <c r="V18" s="816">
        <v>13</v>
      </c>
      <c r="W18" s="21" t="s">
        <v>935</v>
      </c>
      <c r="X18" s="21">
        <f t="shared" si="1"/>
        <v>1</v>
      </c>
      <c r="Y18" s="21" t="str">
        <f t="shared" si="0"/>
        <v/>
      </c>
      <c r="Z18" s="21" t="str">
        <f t="shared" si="0"/>
        <v/>
      </c>
      <c r="AA18" s="21" t="str">
        <f t="shared" si="0"/>
        <v/>
      </c>
      <c r="AB18" s="21"/>
      <c r="AC18" s="21"/>
      <c r="AE18" s="6"/>
      <c r="AF18" s="2"/>
      <c r="AH18" s="2"/>
      <c r="AJ18" s="2"/>
      <c r="AK18" s="2"/>
      <c r="AL18" s="7"/>
      <c r="AT18" s="1"/>
      <c r="AU18" s="1"/>
      <c r="AV18" s="1"/>
      <c r="AW18" s="1"/>
    </row>
    <row r="19" spans="1:49">
      <c r="A19" s="17"/>
      <c r="C19" t="s">
        <v>125</v>
      </c>
      <c r="E19" t="s">
        <v>179</v>
      </c>
      <c r="F19" s="7"/>
      <c r="G19" s="11">
        <f>G18*6*0.1</f>
        <v>1634.4</v>
      </c>
      <c r="H19" s="13" t="s">
        <v>4</v>
      </c>
      <c r="I19" s="21">
        <f>I18</f>
        <v>64.2</v>
      </c>
      <c r="J19" s="13">
        <f t="shared" si="3"/>
        <v>104928.48000000001</v>
      </c>
      <c r="L19" s="644">
        <f t="shared" si="2"/>
        <v>104928.48000000001</v>
      </c>
      <c r="M19" s="2"/>
      <c r="O19" s="2"/>
      <c r="Q19" s="2"/>
      <c r="R19" s="2"/>
      <c r="S19" s="7"/>
      <c r="U19" s="21"/>
      <c r="V19" s="816">
        <v>14</v>
      </c>
      <c r="W19" s="21" t="s">
        <v>935</v>
      </c>
      <c r="X19" s="21">
        <f t="shared" si="1"/>
        <v>1</v>
      </c>
      <c r="Y19" s="21" t="str">
        <f t="shared" si="0"/>
        <v/>
      </c>
      <c r="Z19" s="21" t="str">
        <f t="shared" si="0"/>
        <v/>
      </c>
      <c r="AA19" s="21" t="str">
        <f t="shared" si="0"/>
        <v/>
      </c>
      <c r="AB19" s="21"/>
      <c r="AC19" s="21"/>
      <c r="AE19" s="6"/>
      <c r="AF19" s="2"/>
      <c r="AH19" s="2"/>
      <c r="AJ19" s="2"/>
      <c r="AK19" s="2"/>
      <c r="AL19" s="7"/>
    </row>
    <row r="20" spans="1:49">
      <c r="A20" s="17"/>
      <c r="C20" t="s">
        <v>176</v>
      </c>
      <c r="F20" s="7"/>
      <c r="G20" s="11">
        <f>ROUNDUP(G18/115,0)</f>
        <v>24</v>
      </c>
      <c r="H20" s="13" t="s">
        <v>19</v>
      </c>
      <c r="I20" s="21">
        <v>125</v>
      </c>
      <c r="J20" s="13">
        <f t="shared" si="3"/>
        <v>3000</v>
      </c>
      <c r="L20" s="644">
        <f t="shared" si="2"/>
        <v>3000</v>
      </c>
      <c r="M20" s="2"/>
      <c r="O20" s="2"/>
      <c r="Q20" s="2"/>
      <c r="R20" s="2"/>
      <c r="S20" s="7"/>
      <c r="U20" s="21"/>
      <c r="V20" s="816">
        <v>15</v>
      </c>
      <c r="W20" s="21" t="s">
        <v>935</v>
      </c>
      <c r="X20" s="21">
        <f t="shared" si="1"/>
        <v>1</v>
      </c>
      <c r="Y20" s="21" t="str">
        <f t="shared" si="0"/>
        <v/>
      </c>
      <c r="Z20" s="21" t="str">
        <f t="shared" si="0"/>
        <v/>
      </c>
      <c r="AA20" s="21" t="str">
        <f t="shared" si="0"/>
        <v/>
      </c>
      <c r="AB20" s="21"/>
      <c r="AC20" s="21"/>
      <c r="AE20" s="6"/>
      <c r="AF20" s="2"/>
      <c r="AH20" s="2"/>
      <c r="AJ20" s="2"/>
      <c r="AK20" s="2"/>
      <c r="AL20" s="7"/>
      <c r="AT20" s="1"/>
      <c r="AU20" s="1"/>
      <c r="AV20" s="1"/>
      <c r="AW20" s="1"/>
    </row>
    <row r="21" spans="1:49">
      <c r="A21" s="17"/>
      <c r="C21" t="s">
        <v>177</v>
      </c>
      <c r="F21" s="7"/>
      <c r="G21" s="11">
        <f>ROUNDUP(G18/550,0)</f>
        <v>5</v>
      </c>
      <c r="H21" s="13" t="s">
        <v>19</v>
      </c>
      <c r="I21" s="21">
        <v>650</v>
      </c>
      <c r="J21" s="13">
        <f t="shared" si="3"/>
        <v>3250</v>
      </c>
      <c r="L21" s="644">
        <f t="shared" si="2"/>
        <v>3250</v>
      </c>
      <c r="M21" s="2"/>
      <c r="O21" s="2"/>
      <c r="Q21" s="2"/>
      <c r="R21" s="2"/>
      <c r="S21" s="7"/>
      <c r="U21" s="21"/>
      <c r="V21" s="816">
        <v>16</v>
      </c>
      <c r="W21" s="21" t="s">
        <v>935</v>
      </c>
      <c r="X21" s="21">
        <f t="shared" si="1"/>
        <v>1</v>
      </c>
      <c r="Y21" s="21" t="str">
        <f t="shared" si="0"/>
        <v/>
      </c>
      <c r="Z21" s="21" t="str">
        <f t="shared" si="0"/>
        <v/>
      </c>
      <c r="AA21" s="21" t="str">
        <f t="shared" si="0"/>
        <v/>
      </c>
      <c r="AB21" s="21"/>
      <c r="AC21" s="21"/>
      <c r="AE21" s="6"/>
      <c r="AF21" s="2"/>
      <c r="AH21" s="2"/>
      <c r="AJ21" s="2"/>
      <c r="AK21" s="2"/>
      <c r="AL21" s="7"/>
    </row>
    <row r="22" spans="1:49">
      <c r="A22" s="17"/>
      <c r="C22" t="s">
        <v>178</v>
      </c>
      <c r="E22" t="s">
        <v>180</v>
      </c>
      <c r="F22" s="7"/>
      <c r="G22" s="11">
        <f>G17</f>
        <v>3</v>
      </c>
      <c r="H22" s="13" t="s">
        <v>19</v>
      </c>
      <c r="I22" s="21">
        <v>550</v>
      </c>
      <c r="J22" s="13">
        <f t="shared" si="3"/>
        <v>1650</v>
      </c>
      <c r="L22" s="644">
        <f t="shared" si="2"/>
        <v>1650</v>
      </c>
      <c r="M22" s="2"/>
      <c r="O22" s="2"/>
      <c r="Q22" s="2"/>
      <c r="R22" s="2"/>
      <c r="S22" s="7"/>
      <c r="U22" s="21"/>
      <c r="V22" s="816">
        <v>17</v>
      </c>
      <c r="W22" s="21" t="s">
        <v>935</v>
      </c>
      <c r="X22" s="21">
        <f t="shared" si="1"/>
        <v>1</v>
      </c>
      <c r="Y22" s="21" t="str">
        <f t="shared" si="1"/>
        <v/>
      </c>
      <c r="Z22" s="21" t="str">
        <f t="shared" si="1"/>
        <v/>
      </c>
      <c r="AA22" s="21" t="str">
        <f t="shared" si="1"/>
        <v/>
      </c>
      <c r="AB22" s="21"/>
      <c r="AC22" s="21"/>
      <c r="AE22" s="6"/>
      <c r="AF22" s="2"/>
      <c r="AH22" s="2"/>
      <c r="AJ22" s="2"/>
      <c r="AK22" s="2"/>
      <c r="AL22" s="7"/>
      <c r="AT22" s="1"/>
      <c r="AU22" s="1"/>
      <c r="AV22" s="1"/>
      <c r="AW22" s="1"/>
    </row>
    <row r="23" spans="1:49">
      <c r="A23" s="17"/>
      <c r="F23" s="7"/>
      <c r="G23" s="11"/>
      <c r="H23" s="13"/>
      <c r="I23" s="21"/>
      <c r="J23" s="13"/>
      <c r="L23" s="644">
        <f t="shared" si="2"/>
        <v>0</v>
      </c>
      <c r="M23" s="2"/>
      <c r="O23" s="2"/>
      <c r="Q23" s="2"/>
      <c r="R23" s="2"/>
      <c r="S23" s="7"/>
      <c r="U23" s="21"/>
      <c r="V23" s="816">
        <v>18</v>
      </c>
      <c r="W23" s="21" t="s">
        <v>935</v>
      </c>
      <c r="X23" s="21">
        <f t="shared" si="1"/>
        <v>1</v>
      </c>
      <c r="Y23" s="21" t="str">
        <f t="shared" si="1"/>
        <v/>
      </c>
      <c r="Z23" s="21" t="str">
        <f t="shared" si="1"/>
        <v/>
      </c>
      <c r="AA23" s="21" t="str">
        <f t="shared" si="1"/>
        <v/>
      </c>
      <c r="AB23" s="21"/>
      <c r="AC23" s="21"/>
      <c r="AE23" s="6"/>
      <c r="AF23" s="2"/>
      <c r="AH23" s="2"/>
      <c r="AJ23" s="2"/>
      <c r="AK23" s="2"/>
      <c r="AL23" s="7"/>
      <c r="AT23" s="1"/>
      <c r="AU23" s="1"/>
      <c r="AV23" s="1"/>
      <c r="AW23" s="1"/>
    </row>
    <row r="24" spans="1:49">
      <c r="A24" s="17"/>
      <c r="B24" t="s">
        <v>126</v>
      </c>
      <c r="F24" s="7"/>
      <c r="G24" s="11"/>
      <c r="H24" s="13" t="s">
        <v>190</v>
      </c>
      <c r="I24" s="21"/>
      <c r="J24" s="13"/>
      <c r="L24" s="644">
        <f t="shared" si="2"/>
        <v>0</v>
      </c>
      <c r="M24" s="2"/>
      <c r="O24" s="2"/>
      <c r="Q24" s="2"/>
      <c r="R24" s="2"/>
      <c r="S24" s="7"/>
      <c r="U24" s="21"/>
      <c r="V24" s="816">
        <v>19</v>
      </c>
      <c r="W24" s="21" t="s">
        <v>935</v>
      </c>
      <c r="X24" s="21">
        <f t="shared" si="1"/>
        <v>1</v>
      </c>
      <c r="Y24" s="21" t="str">
        <f t="shared" si="1"/>
        <v/>
      </c>
      <c r="Z24" s="21" t="str">
        <f t="shared" si="1"/>
        <v/>
      </c>
      <c r="AA24" s="21" t="str">
        <f t="shared" si="1"/>
        <v/>
      </c>
      <c r="AB24" s="21"/>
      <c r="AC24" s="21"/>
      <c r="AE24" s="6"/>
      <c r="AF24" s="2"/>
      <c r="AH24" s="2"/>
      <c r="AJ24" s="2"/>
      <c r="AK24" s="2"/>
      <c r="AL24" s="7"/>
    </row>
    <row r="25" spans="1:49">
      <c r="A25" s="17"/>
      <c r="C25" t="s">
        <v>127</v>
      </c>
      <c r="F25" s="7"/>
      <c r="G25" s="11">
        <f>'Dwelling Mix'!AH90/'Dwelling Mix'!AB90*F15*0.3</f>
        <v>8336.6039499304534</v>
      </c>
      <c r="H25" s="13" t="s">
        <v>18</v>
      </c>
      <c r="I25" s="21">
        <v>4.5</v>
      </c>
      <c r="J25" s="13">
        <f>G25*I25</f>
        <v>37514.717774687044</v>
      </c>
      <c r="L25" s="644">
        <f t="shared" si="2"/>
        <v>37514.717774687044</v>
      </c>
      <c r="M25" s="2"/>
      <c r="O25" s="2"/>
      <c r="Q25" s="2"/>
      <c r="R25" s="2"/>
      <c r="S25" s="7"/>
      <c r="U25" s="21"/>
      <c r="V25" s="816">
        <v>20</v>
      </c>
      <c r="W25" s="21" t="s">
        <v>935</v>
      </c>
      <c r="X25" s="21">
        <f t="shared" si="1"/>
        <v>1</v>
      </c>
      <c r="Y25" s="21" t="str">
        <f t="shared" si="1"/>
        <v/>
      </c>
      <c r="Z25" s="21" t="str">
        <f t="shared" si="1"/>
        <v/>
      </c>
      <c r="AA25" s="21" t="str">
        <f t="shared" si="1"/>
        <v/>
      </c>
      <c r="AB25" s="21"/>
      <c r="AC25" s="21"/>
      <c r="AE25" s="6"/>
      <c r="AF25" s="2"/>
      <c r="AH25" s="2"/>
      <c r="AJ25" s="2"/>
      <c r="AK25" s="2"/>
      <c r="AL25" s="7"/>
      <c r="AT25" s="1"/>
      <c r="AU25" s="1"/>
      <c r="AV25" s="1"/>
      <c r="AW25" s="1"/>
    </row>
    <row r="26" spans="1:49">
      <c r="A26" s="17"/>
      <c r="B26" s="20"/>
      <c r="C26" t="s">
        <v>191</v>
      </c>
      <c r="F26" s="7"/>
      <c r="G26" s="11">
        <f>G25</f>
        <v>8336.6039499304534</v>
      </c>
      <c r="H26" s="13" t="s">
        <v>18</v>
      </c>
      <c r="I26" s="70">
        <f>(180/20)*2.2</f>
        <v>19.8</v>
      </c>
      <c r="J26" s="13">
        <f>G26*I26</f>
        <v>165064.75820862298</v>
      </c>
      <c r="L26" s="644">
        <f t="shared" si="2"/>
        <v>165064.75820862298</v>
      </c>
      <c r="M26" s="2"/>
      <c r="O26" s="2"/>
      <c r="Q26" s="2"/>
      <c r="R26" s="2"/>
      <c r="S26" s="7"/>
      <c r="U26" s="21"/>
      <c r="V26" s="816">
        <v>21</v>
      </c>
      <c r="W26" s="21" t="s">
        <v>936</v>
      </c>
      <c r="X26" s="21" t="str">
        <f t="shared" si="1"/>
        <v/>
      </c>
      <c r="Y26" s="21">
        <f t="shared" si="1"/>
        <v>1</v>
      </c>
      <c r="Z26" s="21" t="str">
        <f t="shared" si="1"/>
        <v/>
      </c>
      <c r="AA26" s="21" t="str">
        <f t="shared" si="1"/>
        <v/>
      </c>
      <c r="AB26" s="21"/>
      <c r="AC26" s="21"/>
      <c r="AE26" s="6"/>
      <c r="AF26" s="2"/>
      <c r="AH26" s="2"/>
      <c r="AJ26" s="2"/>
      <c r="AK26" s="2"/>
      <c r="AL26" s="7"/>
    </row>
    <row r="27" spans="1:49">
      <c r="A27" s="17"/>
      <c r="B27" s="20"/>
      <c r="F27" s="7"/>
      <c r="G27" s="11"/>
      <c r="H27" s="13"/>
      <c r="I27" s="70"/>
      <c r="J27" s="13"/>
      <c r="L27" s="644">
        <f t="shared" si="2"/>
        <v>0</v>
      </c>
      <c r="M27" s="2"/>
      <c r="O27" s="2"/>
      <c r="Q27" s="2"/>
      <c r="R27" s="2"/>
      <c r="S27" s="7"/>
      <c r="U27" s="21"/>
      <c r="V27" s="816">
        <v>22</v>
      </c>
      <c r="W27" s="21" t="s">
        <v>936</v>
      </c>
      <c r="X27" s="21" t="str">
        <f t="shared" si="1"/>
        <v/>
      </c>
      <c r="Y27" s="21">
        <f t="shared" si="1"/>
        <v>1</v>
      </c>
      <c r="Z27" s="21" t="str">
        <f t="shared" si="1"/>
        <v/>
      </c>
      <c r="AA27" s="21" t="str">
        <f t="shared" si="1"/>
        <v/>
      </c>
      <c r="AB27" s="21"/>
      <c r="AC27" s="21"/>
      <c r="AE27" s="6"/>
      <c r="AF27" s="2"/>
      <c r="AH27" s="2"/>
      <c r="AJ27" s="2"/>
      <c r="AK27" s="2"/>
      <c r="AL27" s="7"/>
      <c r="AT27" s="1"/>
      <c r="AU27" s="1"/>
      <c r="AV27" s="1"/>
      <c r="AW27" s="1"/>
    </row>
    <row r="28" spans="1:49">
      <c r="A28" s="17"/>
      <c r="B28" s="20"/>
      <c r="F28" s="7"/>
      <c r="G28" s="11"/>
      <c r="H28" s="13"/>
      <c r="I28" s="21"/>
      <c r="J28" s="13"/>
      <c r="L28" s="644">
        <f t="shared" si="2"/>
        <v>0</v>
      </c>
      <c r="M28" s="2"/>
      <c r="O28" s="2"/>
      <c r="Q28" s="2"/>
      <c r="R28" s="2"/>
      <c r="S28" s="7"/>
      <c r="U28" s="21"/>
      <c r="V28" s="816">
        <v>23</v>
      </c>
      <c r="W28" s="21" t="s">
        <v>936</v>
      </c>
      <c r="X28" s="21" t="str">
        <f t="shared" si="1"/>
        <v/>
      </c>
      <c r="Y28" s="21">
        <f t="shared" si="1"/>
        <v>1</v>
      </c>
      <c r="Z28" s="21" t="str">
        <f t="shared" si="1"/>
        <v/>
      </c>
      <c r="AA28" s="21" t="str">
        <f t="shared" si="1"/>
        <v/>
      </c>
      <c r="AB28" s="21"/>
      <c r="AC28" s="21"/>
      <c r="AE28" s="6"/>
      <c r="AF28" s="2"/>
      <c r="AH28" s="2"/>
      <c r="AJ28" s="2"/>
      <c r="AK28" s="2"/>
      <c r="AL28" s="7"/>
    </row>
    <row r="29" spans="1:49">
      <c r="A29" s="17"/>
      <c r="C29" t="s">
        <v>173</v>
      </c>
      <c r="F29" s="7"/>
      <c r="G29" s="11">
        <f>'Dwelling Mix'!AE90/'Dwelling Mix'!AB90*F15*0.2*0.6</f>
        <v>1055.6877303370786</v>
      </c>
      <c r="H29" s="13" t="s">
        <v>18</v>
      </c>
      <c r="I29" s="21">
        <v>95</v>
      </c>
      <c r="J29" s="13">
        <f>G29*I29</f>
        <v>100290.33438202247</v>
      </c>
      <c r="L29" s="644">
        <f t="shared" si="2"/>
        <v>100290.33438202247</v>
      </c>
      <c r="M29" s="2"/>
      <c r="O29" s="2"/>
      <c r="Q29" s="2"/>
      <c r="R29" s="2"/>
      <c r="S29" s="7"/>
      <c r="U29" s="21"/>
      <c r="V29" s="816">
        <v>24</v>
      </c>
      <c r="W29" s="21" t="s">
        <v>936</v>
      </c>
      <c r="X29" s="21" t="str">
        <f t="shared" si="1"/>
        <v/>
      </c>
      <c r="Y29" s="21">
        <f t="shared" si="1"/>
        <v>1</v>
      </c>
      <c r="Z29" s="21" t="str">
        <f t="shared" si="1"/>
        <v/>
      </c>
      <c r="AA29" s="21" t="str">
        <f t="shared" si="1"/>
        <v/>
      </c>
      <c r="AB29" s="21"/>
      <c r="AC29" s="21"/>
      <c r="AE29" s="6"/>
      <c r="AF29" s="2"/>
      <c r="AH29" s="2"/>
      <c r="AJ29" s="2"/>
      <c r="AK29" s="2"/>
      <c r="AL29" s="7"/>
      <c r="AT29" s="1"/>
      <c r="AU29" s="1"/>
      <c r="AV29" s="1"/>
      <c r="AW29" s="1"/>
    </row>
    <row r="30" spans="1:49">
      <c r="A30" s="17"/>
      <c r="D30" s="79"/>
      <c r="F30" s="7"/>
      <c r="G30" s="11"/>
      <c r="H30" s="13"/>
      <c r="I30" s="21"/>
      <c r="J30" s="13"/>
      <c r="L30" s="644">
        <f t="shared" si="2"/>
        <v>0</v>
      </c>
      <c r="M30" s="2"/>
      <c r="O30" s="2"/>
      <c r="Q30" s="2"/>
      <c r="R30" s="2"/>
      <c r="S30" s="7"/>
      <c r="U30" s="21"/>
      <c r="V30" s="816">
        <v>25</v>
      </c>
      <c r="W30" s="21" t="s">
        <v>936</v>
      </c>
      <c r="X30" s="21" t="str">
        <f t="shared" si="1"/>
        <v/>
      </c>
      <c r="Y30" s="21">
        <f t="shared" si="1"/>
        <v>1</v>
      </c>
      <c r="Z30" s="21" t="str">
        <f t="shared" si="1"/>
        <v/>
      </c>
      <c r="AA30" s="21" t="str">
        <f t="shared" si="1"/>
        <v/>
      </c>
      <c r="AB30" s="21"/>
      <c r="AC30" s="21"/>
      <c r="AE30" s="6"/>
      <c r="AF30" s="2"/>
      <c r="AH30" s="2"/>
      <c r="AJ30" s="2"/>
      <c r="AK30" s="2"/>
      <c r="AL30" s="7"/>
    </row>
    <row r="31" spans="1:49">
      <c r="A31" s="17"/>
      <c r="C31" t="s">
        <v>174</v>
      </c>
      <c r="F31" s="7"/>
      <c r="G31" s="11">
        <f>'Dwelling Mix'!AE90/'Dwelling Mix'!AB90*F15*0.6*2</f>
        <v>10556.877303370786</v>
      </c>
      <c r="H31" s="13" t="s">
        <v>39</v>
      </c>
      <c r="I31" s="21">
        <v>7.7</v>
      </c>
      <c r="J31" s="13">
        <f>G31*I31</f>
        <v>81287.955235955058</v>
      </c>
      <c r="L31" s="644">
        <f t="shared" si="2"/>
        <v>81287.955235955058</v>
      </c>
      <c r="M31" s="2"/>
      <c r="O31" s="2"/>
      <c r="Q31" s="2"/>
      <c r="R31" s="2"/>
      <c r="S31" s="7"/>
      <c r="U31" s="21"/>
      <c r="V31" s="816">
        <v>26</v>
      </c>
      <c r="W31" s="21" t="s">
        <v>936</v>
      </c>
      <c r="X31" s="21" t="str">
        <f t="shared" si="1"/>
        <v/>
      </c>
      <c r="Y31" s="21">
        <f t="shared" si="1"/>
        <v>1</v>
      </c>
      <c r="Z31" s="21" t="str">
        <f t="shared" si="1"/>
        <v/>
      </c>
      <c r="AA31" s="21" t="str">
        <f t="shared" si="1"/>
        <v/>
      </c>
      <c r="AB31" s="21"/>
      <c r="AC31" s="21"/>
      <c r="AE31" s="6"/>
      <c r="AF31" s="2"/>
      <c r="AH31" s="2"/>
      <c r="AJ31" s="2"/>
      <c r="AK31" s="2"/>
      <c r="AL31" s="7"/>
      <c r="AT31" s="1"/>
      <c r="AU31" s="1"/>
      <c r="AV31" s="1"/>
      <c r="AW31" s="1"/>
    </row>
    <row r="32" spans="1:49">
      <c r="A32" s="17"/>
      <c r="B32" s="20"/>
      <c r="F32" s="7"/>
      <c r="G32" s="11"/>
      <c r="H32" s="13"/>
      <c r="I32" s="21"/>
      <c r="J32" s="13"/>
      <c r="L32" s="644">
        <f t="shared" si="2"/>
        <v>0</v>
      </c>
      <c r="M32" s="2"/>
      <c r="O32" s="2"/>
      <c r="Q32" s="2"/>
      <c r="R32" s="2"/>
      <c r="S32" s="7"/>
      <c r="U32" s="21"/>
      <c r="V32" s="816">
        <v>27</v>
      </c>
      <c r="W32" s="21" t="s">
        <v>936</v>
      </c>
      <c r="X32" s="21" t="str">
        <f t="shared" si="1"/>
        <v/>
      </c>
      <c r="Y32" s="21">
        <f t="shared" si="1"/>
        <v>1</v>
      </c>
      <c r="Z32" s="21" t="str">
        <f t="shared" si="1"/>
        <v/>
      </c>
      <c r="AA32" s="21" t="str">
        <f t="shared" si="1"/>
        <v/>
      </c>
      <c r="AB32" s="21"/>
      <c r="AC32" s="21"/>
      <c r="AE32" s="6"/>
      <c r="AF32" s="2"/>
      <c r="AH32" s="2"/>
      <c r="AJ32" s="2"/>
      <c r="AK32" s="2"/>
      <c r="AL32" s="7"/>
    </row>
    <row r="33" spans="1:49">
      <c r="A33" s="17"/>
      <c r="B33" s="20"/>
      <c r="F33" s="7"/>
      <c r="G33" s="11"/>
      <c r="H33" s="13"/>
      <c r="I33" s="21"/>
      <c r="J33" s="13"/>
      <c r="L33" s="644">
        <f t="shared" si="2"/>
        <v>0</v>
      </c>
      <c r="M33" s="2"/>
      <c r="O33" s="2"/>
      <c r="Q33" s="2"/>
      <c r="R33" s="2"/>
      <c r="S33" s="7"/>
      <c r="U33" s="21"/>
      <c r="V33" s="816">
        <v>28</v>
      </c>
      <c r="W33" s="21" t="s">
        <v>936</v>
      </c>
      <c r="X33" s="21" t="str">
        <f t="shared" si="1"/>
        <v/>
      </c>
      <c r="Y33" s="21">
        <f t="shared" si="1"/>
        <v>1</v>
      </c>
      <c r="Z33" s="21" t="str">
        <f t="shared" si="1"/>
        <v/>
      </c>
      <c r="AA33" s="21" t="str">
        <f t="shared" si="1"/>
        <v/>
      </c>
      <c r="AB33" s="21"/>
      <c r="AC33" s="21"/>
      <c r="AE33" s="6"/>
      <c r="AF33" s="2"/>
      <c r="AH33" s="2"/>
      <c r="AJ33" s="2"/>
      <c r="AK33" s="2"/>
      <c r="AL33" s="7"/>
      <c r="AT33" s="1"/>
      <c r="AU33" s="1"/>
      <c r="AV33" s="1"/>
      <c r="AW33" s="1"/>
    </row>
    <row r="34" spans="1:49">
      <c r="A34" s="17"/>
      <c r="B34" s="20" t="s">
        <v>223</v>
      </c>
      <c r="G34" s="11"/>
      <c r="H34" s="13"/>
      <c r="I34" s="21"/>
      <c r="J34" s="13"/>
      <c r="L34" s="644">
        <f t="shared" si="2"/>
        <v>0</v>
      </c>
      <c r="M34" s="2"/>
      <c r="O34" s="2"/>
      <c r="P34" s="2"/>
      <c r="Q34" s="2"/>
      <c r="R34" s="2"/>
      <c r="S34" s="7"/>
      <c r="U34" s="21"/>
      <c r="V34" s="816">
        <v>29</v>
      </c>
      <c r="W34" s="21" t="s">
        <v>936</v>
      </c>
      <c r="X34" s="21" t="str">
        <f t="shared" si="1"/>
        <v/>
      </c>
      <c r="Y34" s="21">
        <f t="shared" si="1"/>
        <v>1</v>
      </c>
      <c r="Z34" s="21" t="str">
        <f t="shared" si="1"/>
        <v/>
      </c>
      <c r="AA34" s="21" t="str">
        <f t="shared" si="1"/>
        <v/>
      </c>
      <c r="AB34" s="21"/>
      <c r="AC34" s="21"/>
      <c r="AE34" s="6"/>
      <c r="AF34" s="2"/>
      <c r="AH34" s="2"/>
      <c r="AJ34" s="2"/>
      <c r="AK34" s="2"/>
      <c r="AL34" s="7"/>
    </row>
    <row r="35" spans="1:49">
      <c r="A35" s="17"/>
      <c r="B35" s="20"/>
      <c r="F35" s="7"/>
      <c r="G35" s="11"/>
      <c r="H35" s="13"/>
      <c r="I35" s="21"/>
      <c r="J35" s="13"/>
      <c r="L35" s="644">
        <f t="shared" si="2"/>
        <v>0</v>
      </c>
      <c r="M35" s="2"/>
      <c r="O35" s="2"/>
      <c r="Q35" s="2"/>
      <c r="R35" s="2"/>
      <c r="S35" s="7"/>
      <c r="U35" s="21"/>
      <c r="V35" s="816">
        <v>30</v>
      </c>
      <c r="W35" s="21" t="s">
        <v>936</v>
      </c>
      <c r="X35" s="21" t="str">
        <f t="shared" si="1"/>
        <v/>
      </c>
      <c r="Y35" s="21">
        <f t="shared" si="1"/>
        <v>1</v>
      </c>
      <c r="Z35" s="21" t="str">
        <f t="shared" si="1"/>
        <v/>
      </c>
      <c r="AA35" s="21" t="str">
        <f t="shared" si="1"/>
        <v/>
      </c>
      <c r="AB35" s="21"/>
      <c r="AC35" s="21"/>
      <c r="AE35" s="6"/>
      <c r="AF35" s="2"/>
      <c r="AH35" s="2"/>
      <c r="AJ35" s="2"/>
      <c r="AK35" s="2"/>
      <c r="AL35" s="7"/>
    </row>
    <row r="36" spans="1:49">
      <c r="A36" s="17"/>
      <c r="B36" t="s">
        <v>836</v>
      </c>
      <c r="F36" s="26">
        <f>X508</f>
        <v>150</v>
      </c>
      <c r="G36" s="11"/>
      <c r="H36" s="13"/>
      <c r="I36" s="21"/>
      <c r="J36" s="13"/>
      <c r="L36" s="644">
        <f t="shared" si="2"/>
        <v>0</v>
      </c>
      <c r="M36" s="2"/>
      <c r="O36" s="2"/>
      <c r="Q36" s="2"/>
      <c r="R36" s="2"/>
      <c r="S36" s="7"/>
      <c r="U36" s="21"/>
      <c r="V36" s="816">
        <v>31</v>
      </c>
      <c r="W36" s="21" t="s">
        <v>936</v>
      </c>
      <c r="X36" s="21" t="str">
        <f t="shared" si="1"/>
        <v/>
      </c>
      <c r="Y36" s="21">
        <f t="shared" si="1"/>
        <v>1</v>
      </c>
      <c r="Z36" s="21" t="str">
        <f t="shared" si="1"/>
        <v/>
      </c>
      <c r="AA36" s="21" t="str">
        <f t="shared" si="1"/>
        <v/>
      </c>
      <c r="AB36" s="21"/>
      <c r="AC36" s="21"/>
      <c r="AE36" s="6"/>
      <c r="AF36" s="2"/>
      <c r="AH36" s="2"/>
      <c r="AJ36" s="2"/>
      <c r="AK36" s="2"/>
      <c r="AL36" s="7"/>
    </row>
    <row r="37" spans="1:49">
      <c r="A37" s="17"/>
      <c r="F37" s="7"/>
      <c r="G37" s="11"/>
      <c r="H37" s="13"/>
      <c r="I37" s="21"/>
      <c r="J37" s="13"/>
      <c r="L37" s="644">
        <f t="shared" si="2"/>
        <v>0</v>
      </c>
      <c r="M37" s="2"/>
      <c r="O37" s="2"/>
      <c r="Q37" s="2"/>
      <c r="R37" s="2"/>
      <c r="S37" s="7"/>
      <c r="U37" s="21"/>
      <c r="V37" s="816">
        <v>32</v>
      </c>
      <c r="W37" s="21" t="s">
        <v>936</v>
      </c>
      <c r="X37" s="21" t="str">
        <f t="shared" si="1"/>
        <v/>
      </c>
      <c r="Y37" s="21">
        <f t="shared" si="1"/>
        <v>1</v>
      </c>
      <c r="Z37" s="21" t="str">
        <f t="shared" si="1"/>
        <v/>
      </c>
      <c r="AA37" s="21" t="str">
        <f t="shared" si="1"/>
        <v/>
      </c>
      <c r="AB37" s="21"/>
      <c r="AC37" s="21"/>
      <c r="AE37" s="6"/>
      <c r="AF37" s="2"/>
      <c r="AH37" s="2"/>
      <c r="AJ37" s="2"/>
      <c r="AK37" s="2"/>
      <c r="AL37" s="7"/>
    </row>
    <row r="38" spans="1:49">
      <c r="A38" s="17"/>
      <c r="C38" t="s">
        <v>124</v>
      </c>
      <c r="E38" t="s">
        <v>180</v>
      </c>
      <c r="F38" s="7"/>
      <c r="G38" s="11">
        <v>3</v>
      </c>
      <c r="H38" s="13" t="s">
        <v>19</v>
      </c>
      <c r="I38" s="21">
        <v>2500</v>
      </c>
      <c r="J38" s="13">
        <f t="shared" ref="J38:J43" si="4">G38*I38</f>
        <v>7500</v>
      </c>
      <c r="L38" s="644">
        <f t="shared" si="2"/>
        <v>7500</v>
      </c>
      <c r="M38" s="2"/>
      <c r="O38" s="2"/>
      <c r="Q38" s="2"/>
      <c r="R38" s="2"/>
      <c r="S38" s="7"/>
      <c r="U38" s="21"/>
      <c r="V38" s="816">
        <v>33</v>
      </c>
      <c r="W38" s="21" t="s">
        <v>936</v>
      </c>
      <c r="X38" s="21" t="str">
        <f t="shared" si="1"/>
        <v/>
      </c>
      <c r="Y38" s="21">
        <f t="shared" si="1"/>
        <v>1</v>
      </c>
      <c r="Z38" s="21" t="str">
        <f t="shared" si="1"/>
        <v/>
      </c>
      <c r="AA38" s="21" t="str">
        <f t="shared" si="1"/>
        <v/>
      </c>
      <c r="AB38" s="21"/>
      <c r="AC38" s="21"/>
      <c r="AE38" s="6"/>
      <c r="AF38" s="2"/>
      <c r="AH38" s="2"/>
      <c r="AJ38" s="2"/>
      <c r="AK38" s="2"/>
      <c r="AL38" s="7"/>
    </row>
    <row r="39" spans="1:49">
      <c r="A39" s="17"/>
      <c r="C39" t="s">
        <v>225</v>
      </c>
      <c r="F39" s="7"/>
      <c r="G39" s="11">
        <f>F36*12</f>
        <v>1800</v>
      </c>
      <c r="H39" s="13" t="s">
        <v>19</v>
      </c>
      <c r="I39" s="21">
        <f>30.41*6</f>
        <v>182.46</v>
      </c>
      <c r="J39" s="13">
        <f t="shared" si="4"/>
        <v>328428</v>
      </c>
      <c r="L39" s="644">
        <f t="shared" si="2"/>
        <v>328428</v>
      </c>
      <c r="M39" s="2"/>
      <c r="O39" s="2"/>
      <c r="Q39" s="2"/>
      <c r="R39" s="2"/>
      <c r="S39" s="7"/>
      <c r="U39" s="21"/>
      <c r="V39" s="816">
        <v>34</v>
      </c>
      <c r="W39" s="21" t="s">
        <v>936</v>
      </c>
      <c r="X39" s="21" t="str">
        <f t="shared" si="1"/>
        <v/>
      </c>
      <c r="Y39" s="21">
        <f t="shared" si="1"/>
        <v>1</v>
      </c>
      <c r="Z39" s="21" t="str">
        <f t="shared" si="1"/>
        <v/>
      </c>
      <c r="AA39" s="21" t="str">
        <f t="shared" si="1"/>
        <v/>
      </c>
      <c r="AB39" s="21"/>
      <c r="AC39" s="21"/>
      <c r="AE39" s="6"/>
      <c r="AF39" s="2"/>
      <c r="AH39" s="2"/>
      <c r="AJ39" s="2"/>
      <c r="AK39" s="2"/>
      <c r="AL39" s="7"/>
    </row>
    <row r="40" spans="1:49">
      <c r="A40" s="17"/>
      <c r="C40" t="s">
        <v>125</v>
      </c>
      <c r="E40" t="s">
        <v>179</v>
      </c>
      <c r="F40" s="7"/>
      <c r="G40" s="11">
        <f>G39*6*0.1</f>
        <v>1080</v>
      </c>
      <c r="H40" s="13" t="s">
        <v>4</v>
      </c>
      <c r="I40" s="21">
        <v>35</v>
      </c>
      <c r="J40" s="13">
        <f t="shared" si="4"/>
        <v>37800</v>
      </c>
      <c r="L40" s="644">
        <f t="shared" si="2"/>
        <v>37800</v>
      </c>
      <c r="M40" s="2"/>
      <c r="O40" s="2"/>
      <c r="Q40" s="2"/>
      <c r="R40" s="2"/>
      <c r="S40" s="7"/>
      <c r="U40" s="21"/>
      <c r="V40" s="816">
        <v>35</v>
      </c>
      <c r="W40" s="21" t="s">
        <v>936</v>
      </c>
      <c r="X40" s="21" t="str">
        <f t="shared" si="1"/>
        <v/>
      </c>
      <c r="Y40" s="21">
        <f t="shared" si="1"/>
        <v>1</v>
      </c>
      <c r="Z40" s="21" t="str">
        <f t="shared" si="1"/>
        <v/>
      </c>
      <c r="AA40" s="21" t="str">
        <f t="shared" si="1"/>
        <v/>
      </c>
      <c r="AB40" s="21"/>
      <c r="AC40" s="21"/>
      <c r="AE40" s="6"/>
      <c r="AF40" s="2"/>
      <c r="AH40" s="2"/>
      <c r="AJ40" s="2"/>
      <c r="AK40" s="2"/>
      <c r="AL40" s="7"/>
    </row>
    <row r="41" spans="1:49">
      <c r="A41" s="17"/>
      <c r="C41" t="s">
        <v>176</v>
      </c>
      <c r="F41" s="7"/>
      <c r="G41" s="11">
        <f>ROUNDUP(G39/115,0)</f>
        <v>16</v>
      </c>
      <c r="H41" s="13" t="s">
        <v>19</v>
      </c>
      <c r="I41" s="21">
        <v>295</v>
      </c>
      <c r="J41" s="13">
        <f t="shared" si="4"/>
        <v>4720</v>
      </c>
      <c r="L41" s="644">
        <f t="shared" si="2"/>
        <v>4720</v>
      </c>
      <c r="M41" s="2"/>
      <c r="O41" s="2"/>
      <c r="Q41" s="2"/>
      <c r="R41" s="2"/>
      <c r="S41" s="7"/>
      <c r="U41" s="21"/>
      <c r="V41" s="816">
        <v>36</v>
      </c>
      <c r="W41" s="21" t="s">
        <v>936</v>
      </c>
      <c r="X41" s="21" t="str">
        <f t="shared" si="1"/>
        <v/>
      </c>
      <c r="Y41" s="21">
        <f t="shared" si="1"/>
        <v>1</v>
      </c>
      <c r="Z41" s="21" t="str">
        <f t="shared" si="1"/>
        <v/>
      </c>
      <c r="AA41" s="21" t="str">
        <f t="shared" si="1"/>
        <v/>
      </c>
      <c r="AB41" s="21"/>
      <c r="AC41" s="21"/>
      <c r="AE41" s="6"/>
      <c r="AF41" s="2"/>
      <c r="AH41" s="2"/>
      <c r="AJ41" s="2"/>
      <c r="AK41" s="2"/>
      <c r="AL41" s="7"/>
    </row>
    <row r="42" spans="1:49">
      <c r="A42" s="17"/>
      <c r="C42" t="s">
        <v>177</v>
      </c>
      <c r="F42" s="7"/>
      <c r="G42" s="11">
        <f>ROUNDUP(G39/550,0)</f>
        <v>4</v>
      </c>
      <c r="H42" s="13" t="s">
        <v>19</v>
      </c>
      <c r="I42" s="21">
        <v>1250</v>
      </c>
      <c r="J42" s="13">
        <f t="shared" si="4"/>
        <v>5000</v>
      </c>
      <c r="L42" s="644">
        <f t="shared" si="2"/>
        <v>5000</v>
      </c>
      <c r="M42" s="2"/>
      <c r="O42" s="2"/>
      <c r="Q42" s="2"/>
      <c r="R42" s="2"/>
      <c r="S42" s="7"/>
      <c r="U42" s="21"/>
      <c r="V42" s="816">
        <v>37</v>
      </c>
      <c r="W42" s="21" t="s">
        <v>936</v>
      </c>
      <c r="X42" s="21" t="str">
        <f t="shared" si="1"/>
        <v/>
      </c>
      <c r="Y42" s="21">
        <f t="shared" si="1"/>
        <v>1</v>
      </c>
      <c r="Z42" s="21" t="str">
        <f t="shared" si="1"/>
        <v/>
      </c>
      <c r="AA42" s="21" t="str">
        <f t="shared" si="1"/>
        <v/>
      </c>
      <c r="AB42" s="21"/>
      <c r="AC42" s="21"/>
      <c r="AE42" s="6"/>
      <c r="AF42" s="2"/>
      <c r="AH42" s="2"/>
      <c r="AJ42" s="2"/>
      <c r="AK42" s="2"/>
      <c r="AL42" s="7"/>
    </row>
    <row r="43" spans="1:49">
      <c r="A43" s="17"/>
      <c r="C43" t="s">
        <v>178</v>
      </c>
      <c r="E43" t="s">
        <v>180</v>
      </c>
      <c r="F43" s="7"/>
      <c r="G43" s="11">
        <f>G38</f>
        <v>3</v>
      </c>
      <c r="H43" s="13" t="s">
        <v>19</v>
      </c>
      <c r="I43" s="21">
        <v>550</v>
      </c>
      <c r="J43" s="13">
        <f t="shared" si="4"/>
        <v>1650</v>
      </c>
      <c r="L43" s="644">
        <f t="shared" si="2"/>
        <v>1650</v>
      </c>
      <c r="M43" s="2"/>
      <c r="O43" s="2"/>
      <c r="Q43" s="2"/>
      <c r="R43" s="2"/>
      <c r="S43" s="7"/>
      <c r="U43" s="21"/>
      <c r="V43" s="816">
        <v>38</v>
      </c>
      <c r="W43" s="21" t="s">
        <v>936</v>
      </c>
      <c r="X43" s="21" t="str">
        <f t="shared" si="1"/>
        <v/>
      </c>
      <c r="Y43" s="21">
        <f t="shared" si="1"/>
        <v>1</v>
      </c>
      <c r="Z43" s="21" t="str">
        <f t="shared" si="1"/>
        <v/>
      </c>
      <c r="AA43" s="21" t="str">
        <f t="shared" si="1"/>
        <v/>
      </c>
      <c r="AB43" s="21"/>
      <c r="AC43" s="21"/>
      <c r="AE43" s="64"/>
      <c r="AF43" s="2"/>
      <c r="AH43" s="2"/>
      <c r="AI43" s="2"/>
      <c r="AK43" s="2"/>
      <c r="AL43" s="7"/>
    </row>
    <row r="44" spans="1:49">
      <c r="A44" s="17"/>
      <c r="F44" s="7"/>
      <c r="G44" s="11"/>
      <c r="H44" s="13"/>
      <c r="I44" s="21"/>
      <c r="J44" s="13"/>
      <c r="L44" s="644">
        <f t="shared" si="2"/>
        <v>0</v>
      </c>
      <c r="M44" s="2"/>
      <c r="O44" s="2"/>
      <c r="Q44" s="2"/>
      <c r="R44" s="2"/>
      <c r="S44" s="7"/>
      <c r="U44" s="21"/>
      <c r="V44" s="816">
        <v>39</v>
      </c>
      <c r="W44" s="21" t="s">
        <v>936</v>
      </c>
      <c r="X44" s="21" t="str">
        <f t="shared" si="1"/>
        <v/>
      </c>
      <c r="Y44" s="21">
        <f t="shared" si="1"/>
        <v>1</v>
      </c>
      <c r="Z44" s="21" t="str">
        <f t="shared" si="1"/>
        <v/>
      </c>
      <c r="AA44" s="21" t="str">
        <f t="shared" si="1"/>
        <v/>
      </c>
      <c r="AB44" s="21"/>
      <c r="AC44" s="21"/>
      <c r="AE44" s="64"/>
      <c r="AF44" s="2"/>
      <c r="AH44" s="2"/>
      <c r="AI44" s="2"/>
      <c r="AK44" s="2"/>
      <c r="AL44" s="7"/>
    </row>
    <row r="45" spans="1:49" ht="16" thickBot="1">
      <c r="A45" s="17"/>
      <c r="B45" t="s">
        <v>126</v>
      </c>
      <c r="F45" s="7"/>
      <c r="G45" s="11"/>
      <c r="H45" s="13"/>
      <c r="I45" s="21"/>
      <c r="J45" s="13"/>
      <c r="L45" s="644">
        <f t="shared" si="2"/>
        <v>0</v>
      </c>
      <c r="M45" s="2"/>
      <c r="O45" s="2"/>
      <c r="Q45" s="2"/>
      <c r="R45" s="2"/>
      <c r="S45" s="7"/>
      <c r="U45" s="65"/>
      <c r="V45" s="816">
        <v>40</v>
      </c>
      <c r="W45" s="21" t="s">
        <v>936</v>
      </c>
      <c r="X45" s="21" t="str">
        <f t="shared" si="1"/>
        <v/>
      </c>
      <c r="Y45" s="21">
        <f t="shared" si="1"/>
        <v>1</v>
      </c>
      <c r="Z45" s="21" t="str">
        <f t="shared" si="1"/>
        <v/>
      </c>
      <c r="AA45" s="21" t="str">
        <f t="shared" si="1"/>
        <v/>
      </c>
      <c r="AB45" s="65"/>
      <c r="AC45" s="65"/>
      <c r="AE45" s="47">
        <f t="shared" ref="AE45:AL45" si="5">SUM(AE9:AE43)</f>
        <v>0</v>
      </c>
      <c r="AF45" s="47">
        <f t="shared" si="5"/>
        <v>0</v>
      </c>
      <c r="AG45" s="47">
        <f t="shared" si="5"/>
        <v>0</v>
      </c>
      <c r="AH45" s="47">
        <f t="shared" si="5"/>
        <v>0</v>
      </c>
      <c r="AI45" s="47">
        <f t="shared" si="5"/>
        <v>0</v>
      </c>
      <c r="AJ45" s="47">
        <f t="shared" si="5"/>
        <v>0</v>
      </c>
      <c r="AK45" s="47">
        <f t="shared" si="5"/>
        <v>0</v>
      </c>
      <c r="AL45" s="47">
        <f t="shared" si="5"/>
        <v>0</v>
      </c>
    </row>
    <row r="46" spans="1:49">
      <c r="A46" s="17"/>
      <c r="C46" t="s">
        <v>127</v>
      </c>
      <c r="F46" s="7"/>
      <c r="G46" s="11">
        <f>'Dwelling Mix'!AH90/'Dwelling Mix'!AB90*F36*0.3</f>
        <v>5508.7691299099915</v>
      </c>
      <c r="H46" s="13" t="s">
        <v>18</v>
      </c>
      <c r="I46" s="21">
        <v>4.5</v>
      </c>
      <c r="J46" s="13">
        <f>G46*I46</f>
        <v>24789.461084594961</v>
      </c>
      <c r="L46" s="644">
        <f t="shared" si="2"/>
        <v>24789.461084594961</v>
      </c>
      <c r="M46" s="2"/>
      <c r="O46" s="2"/>
      <c r="Q46" s="2"/>
      <c r="R46" s="2"/>
      <c r="S46" s="7"/>
      <c r="U46" s="21"/>
      <c r="V46" s="816">
        <v>41</v>
      </c>
      <c r="W46" s="21" t="s">
        <v>936</v>
      </c>
      <c r="X46" s="21" t="str">
        <f t="shared" si="1"/>
        <v/>
      </c>
      <c r="Y46" s="21">
        <f t="shared" si="1"/>
        <v>1</v>
      </c>
      <c r="Z46" s="21" t="str">
        <f t="shared" si="1"/>
        <v/>
      </c>
      <c r="AA46" s="21" t="str">
        <f t="shared" si="1"/>
        <v/>
      </c>
      <c r="AB46" s="21"/>
      <c r="AC46" s="21"/>
      <c r="AE46" s="63"/>
      <c r="AF46" s="9"/>
      <c r="AG46" s="63"/>
      <c r="AH46" s="9"/>
      <c r="AI46" s="63"/>
      <c r="AJ46" s="9"/>
      <c r="AK46" s="63"/>
      <c r="AL46" s="63"/>
    </row>
    <row r="47" spans="1:49">
      <c r="A47" s="17"/>
      <c r="B47" s="20"/>
      <c r="C47" t="s">
        <v>745</v>
      </c>
      <c r="F47" s="7"/>
      <c r="G47" s="11">
        <f>G46</f>
        <v>5508.7691299099915</v>
      </c>
      <c r="H47" s="13" t="s">
        <v>18</v>
      </c>
      <c r="I47" s="70">
        <f>(260/20)*2.2</f>
        <v>28.6</v>
      </c>
      <c r="J47" s="13">
        <f>G47*I47</f>
        <v>157550.79711542575</v>
      </c>
      <c r="L47" s="644">
        <f t="shared" si="2"/>
        <v>157550.79711542575</v>
      </c>
      <c r="M47" s="2"/>
      <c r="O47" s="2"/>
      <c r="Q47" s="2"/>
      <c r="R47" s="2"/>
      <c r="S47" s="7"/>
      <c r="V47" s="816">
        <v>42</v>
      </c>
      <c r="W47" s="21" t="s">
        <v>936</v>
      </c>
      <c r="X47" s="21" t="str">
        <f t="shared" si="1"/>
        <v/>
      </c>
      <c r="Y47" s="21">
        <f t="shared" si="1"/>
        <v>1</v>
      </c>
      <c r="Z47" s="21" t="str">
        <f t="shared" si="1"/>
        <v/>
      </c>
      <c r="AA47" s="21" t="str">
        <f t="shared" si="1"/>
        <v/>
      </c>
    </row>
    <row r="48" spans="1:49">
      <c r="A48" s="17"/>
      <c r="B48" s="20"/>
      <c r="F48" s="7"/>
      <c r="G48" s="11"/>
      <c r="H48" s="13"/>
      <c r="I48" s="70"/>
      <c r="J48" s="13"/>
      <c r="L48" s="644">
        <f t="shared" si="2"/>
        <v>0</v>
      </c>
      <c r="M48" s="2"/>
      <c r="O48" s="2"/>
      <c r="Q48" s="2"/>
      <c r="R48" s="2"/>
      <c r="S48" s="7"/>
      <c r="V48" s="816">
        <v>43</v>
      </c>
      <c r="W48" s="21" t="s">
        <v>936</v>
      </c>
      <c r="X48" s="21" t="str">
        <f t="shared" si="1"/>
        <v/>
      </c>
      <c r="Y48" s="21">
        <f t="shared" si="1"/>
        <v>1</v>
      </c>
      <c r="Z48" s="21" t="str">
        <f t="shared" si="1"/>
        <v/>
      </c>
      <c r="AA48" s="21" t="str">
        <f t="shared" si="1"/>
        <v/>
      </c>
    </row>
    <row r="49" spans="1:27">
      <c r="A49" s="17"/>
      <c r="B49" s="20"/>
      <c r="F49" s="7"/>
      <c r="G49" s="11"/>
      <c r="H49" s="13"/>
      <c r="I49" s="21"/>
      <c r="J49" s="13"/>
      <c r="L49" s="644">
        <f t="shared" si="2"/>
        <v>0</v>
      </c>
      <c r="M49" s="2"/>
      <c r="O49" s="2"/>
      <c r="Q49" s="2"/>
      <c r="R49" s="2"/>
      <c r="S49" s="7"/>
      <c r="V49" s="816">
        <v>44</v>
      </c>
      <c r="W49" s="21" t="s">
        <v>936</v>
      </c>
      <c r="X49" s="21" t="str">
        <f t="shared" si="1"/>
        <v/>
      </c>
      <c r="Y49" s="21">
        <f t="shared" si="1"/>
        <v>1</v>
      </c>
      <c r="Z49" s="21" t="str">
        <f t="shared" si="1"/>
        <v/>
      </c>
      <c r="AA49" s="21" t="str">
        <f t="shared" si="1"/>
        <v/>
      </c>
    </row>
    <row r="50" spans="1:27">
      <c r="A50" s="17"/>
      <c r="C50" t="s">
        <v>226</v>
      </c>
      <c r="F50" s="7"/>
      <c r="G50" s="11">
        <f>'Dwelling Mix'!AE90/'Dwelling Mix'!AB90*F36</f>
        <v>5813.2584269662921</v>
      </c>
      <c r="H50" s="13" t="s">
        <v>4</v>
      </c>
      <c r="I50" s="21">
        <v>73</v>
      </c>
      <c r="J50" s="13">
        <f>G50*I50</f>
        <v>424367.86516853934</v>
      </c>
      <c r="L50" s="644">
        <f t="shared" si="2"/>
        <v>424367.86516853934</v>
      </c>
      <c r="M50" s="2"/>
      <c r="O50" s="2"/>
      <c r="Q50" s="2"/>
      <c r="R50" s="2"/>
      <c r="S50" s="7"/>
      <c r="V50" s="816">
        <v>45</v>
      </c>
      <c r="W50" s="21" t="s">
        <v>936</v>
      </c>
      <c r="X50" s="21" t="str">
        <f t="shared" si="1"/>
        <v/>
      </c>
      <c r="Y50" s="21">
        <f t="shared" si="1"/>
        <v>1</v>
      </c>
      <c r="Z50" s="21" t="str">
        <f t="shared" si="1"/>
        <v/>
      </c>
      <c r="AA50" s="21" t="str">
        <f t="shared" si="1"/>
        <v/>
      </c>
    </row>
    <row r="51" spans="1:27">
      <c r="A51" s="17"/>
      <c r="D51" s="79"/>
      <c r="F51" s="7"/>
      <c r="G51" s="11"/>
      <c r="H51" s="13"/>
      <c r="I51" s="21"/>
      <c r="J51" s="13"/>
      <c r="L51" s="644">
        <f t="shared" si="2"/>
        <v>0</v>
      </c>
      <c r="M51" s="2"/>
      <c r="O51" s="2"/>
      <c r="Q51" s="2"/>
      <c r="R51" s="2"/>
      <c r="S51" s="7"/>
      <c r="V51" s="816">
        <v>46</v>
      </c>
      <c r="W51" s="21" t="s">
        <v>936</v>
      </c>
      <c r="X51" s="21" t="str">
        <f t="shared" si="1"/>
        <v/>
      </c>
      <c r="Y51" s="21">
        <f t="shared" si="1"/>
        <v>1</v>
      </c>
      <c r="Z51" s="21" t="str">
        <f t="shared" si="1"/>
        <v/>
      </c>
      <c r="AA51" s="21" t="str">
        <f t="shared" si="1"/>
        <v/>
      </c>
    </row>
    <row r="52" spans="1:27">
      <c r="A52" s="17"/>
      <c r="B52" s="20"/>
      <c r="F52" s="7"/>
      <c r="G52" s="11"/>
      <c r="H52" s="13"/>
      <c r="I52" s="208"/>
      <c r="J52" s="211"/>
      <c r="L52" s="644">
        <f>J52</f>
        <v>0</v>
      </c>
      <c r="M52" s="2"/>
      <c r="O52" s="2"/>
      <c r="Q52" s="2"/>
      <c r="R52" s="2"/>
      <c r="S52" s="7"/>
      <c r="V52" s="816">
        <v>47</v>
      </c>
      <c r="W52" s="21" t="s">
        <v>936</v>
      </c>
      <c r="X52" s="21" t="str">
        <f t="shared" si="1"/>
        <v/>
      </c>
      <c r="Y52" s="21">
        <f t="shared" si="1"/>
        <v>1</v>
      </c>
      <c r="Z52" s="21" t="str">
        <f t="shared" si="1"/>
        <v/>
      </c>
      <c r="AA52" s="21" t="str">
        <f t="shared" si="1"/>
        <v/>
      </c>
    </row>
    <row r="53" spans="1:27">
      <c r="A53" s="17"/>
      <c r="B53" s="20" t="s">
        <v>662</v>
      </c>
      <c r="F53" s="7"/>
      <c r="G53" s="11">
        <f>'Dwelling Mix'!AF90</f>
        <v>22268</v>
      </c>
      <c r="H53" s="13" t="s">
        <v>39</v>
      </c>
      <c r="I53" s="208">
        <v>37.5</v>
      </c>
      <c r="J53" s="13">
        <f>G53*I53</f>
        <v>835050</v>
      </c>
      <c r="L53" s="644">
        <f>J53</f>
        <v>835050</v>
      </c>
      <c r="M53" s="2"/>
      <c r="O53" s="2"/>
      <c r="Q53" s="2"/>
      <c r="R53" s="2"/>
      <c r="S53" s="7"/>
      <c r="V53" s="816">
        <v>48</v>
      </c>
      <c r="W53" s="21" t="s">
        <v>935</v>
      </c>
      <c r="X53" s="21">
        <f t="shared" si="1"/>
        <v>1</v>
      </c>
      <c r="Y53" s="21" t="str">
        <f t="shared" si="1"/>
        <v/>
      </c>
      <c r="Z53" s="21" t="str">
        <f t="shared" si="1"/>
        <v/>
      </c>
      <c r="AA53" s="21" t="str">
        <f t="shared" si="1"/>
        <v/>
      </c>
    </row>
    <row r="54" spans="1:27">
      <c r="A54" s="17"/>
      <c r="B54" s="20"/>
      <c r="F54" s="7"/>
      <c r="G54" s="11"/>
      <c r="H54" s="13"/>
      <c r="I54" s="208"/>
      <c r="J54" s="211"/>
      <c r="L54" s="644">
        <f>J54</f>
        <v>0</v>
      </c>
      <c r="M54" s="2"/>
      <c r="O54" s="2"/>
      <c r="Q54" s="2"/>
      <c r="R54" s="2"/>
      <c r="S54" s="7"/>
      <c r="V54" s="816">
        <v>49</v>
      </c>
      <c r="W54" s="21" t="s">
        <v>935</v>
      </c>
      <c r="X54" s="21">
        <f t="shared" si="1"/>
        <v>1</v>
      </c>
      <c r="Y54" s="21" t="str">
        <f t="shared" si="1"/>
        <v/>
      </c>
      <c r="Z54" s="21" t="str">
        <f t="shared" si="1"/>
        <v/>
      </c>
      <c r="AA54" s="21" t="str">
        <f t="shared" si="1"/>
        <v/>
      </c>
    </row>
    <row r="55" spans="1:27">
      <c r="A55" s="17"/>
      <c r="B55" s="20"/>
      <c r="F55" s="7"/>
      <c r="G55" s="11"/>
      <c r="H55" s="13"/>
      <c r="I55" s="21"/>
      <c r="J55" s="13"/>
      <c r="L55" s="644">
        <f t="shared" si="2"/>
        <v>0</v>
      </c>
      <c r="M55" s="2"/>
      <c r="O55" s="2"/>
      <c r="Q55" s="2"/>
      <c r="R55" s="2"/>
      <c r="S55" s="7"/>
      <c r="V55" s="816">
        <v>50</v>
      </c>
      <c r="W55" s="21" t="s">
        <v>935</v>
      </c>
      <c r="X55" s="21">
        <f t="shared" si="1"/>
        <v>1</v>
      </c>
      <c r="Y55" s="21" t="str">
        <f t="shared" si="1"/>
        <v/>
      </c>
      <c r="Z55" s="21" t="str">
        <f t="shared" si="1"/>
        <v/>
      </c>
      <c r="AA55" s="21" t="str">
        <f t="shared" si="1"/>
        <v/>
      </c>
    </row>
    <row r="56" spans="1:27" ht="19">
      <c r="A56" s="17"/>
      <c r="B56" s="74" t="s">
        <v>170</v>
      </c>
      <c r="F56" s="7"/>
      <c r="G56" s="11"/>
      <c r="H56" s="13"/>
      <c r="I56" s="21"/>
      <c r="J56" s="13"/>
      <c r="L56" s="644">
        <f t="shared" si="2"/>
        <v>0</v>
      </c>
      <c r="M56" s="2"/>
      <c r="O56" s="2"/>
      <c r="Q56" s="2"/>
      <c r="R56" s="2"/>
      <c r="S56" s="7"/>
      <c r="V56" s="816">
        <v>51</v>
      </c>
      <c r="W56" s="21" t="s">
        <v>935</v>
      </c>
      <c r="X56" s="21">
        <f t="shared" si="1"/>
        <v>1</v>
      </c>
      <c r="Y56" s="21" t="str">
        <f t="shared" si="1"/>
        <v/>
      </c>
      <c r="Z56" s="21" t="str">
        <f t="shared" si="1"/>
        <v/>
      </c>
      <c r="AA56" s="21" t="str">
        <f t="shared" si="1"/>
        <v/>
      </c>
    </row>
    <row r="57" spans="1:27">
      <c r="A57" s="17"/>
      <c r="F57" s="7"/>
      <c r="G57" s="11"/>
      <c r="H57" s="13"/>
      <c r="I57" s="21"/>
      <c r="J57" s="13"/>
      <c r="L57" s="644">
        <f t="shared" si="2"/>
        <v>0</v>
      </c>
      <c r="M57" s="2"/>
      <c r="O57" s="2"/>
      <c r="Q57" s="2"/>
      <c r="R57" s="2"/>
      <c r="S57" s="7"/>
      <c r="V57" s="816">
        <v>52</v>
      </c>
      <c r="W57" s="21" t="s">
        <v>935</v>
      </c>
      <c r="X57" s="21">
        <f t="shared" si="1"/>
        <v>1</v>
      </c>
      <c r="Y57" s="21" t="str">
        <f t="shared" si="1"/>
        <v/>
      </c>
      <c r="Z57" s="21" t="str">
        <f t="shared" si="1"/>
        <v/>
      </c>
      <c r="AA57" s="21" t="str">
        <f t="shared" si="1"/>
        <v/>
      </c>
    </row>
    <row r="58" spans="1:27">
      <c r="A58" s="17"/>
      <c r="C58" t="s">
        <v>193</v>
      </c>
      <c r="F58" s="7"/>
      <c r="G58" s="11">
        <f>'Dwelling Mix'!AF90</f>
        <v>22268</v>
      </c>
      <c r="H58" s="13" t="s">
        <v>39</v>
      </c>
      <c r="I58" s="21">
        <f>((553.03+120)/100)*1.075</f>
        <v>7.2350724999999994</v>
      </c>
      <c r="J58" s="13">
        <f>G58*I58</f>
        <v>161110.59443</v>
      </c>
      <c r="L58" s="644">
        <f>J58</f>
        <v>161110.59443</v>
      </c>
      <c r="M58" s="2"/>
      <c r="O58" s="2"/>
      <c r="Q58" s="2"/>
      <c r="R58" s="2"/>
      <c r="S58" s="7"/>
      <c r="V58" s="816">
        <v>53</v>
      </c>
      <c r="W58" s="21" t="s">
        <v>935</v>
      </c>
      <c r="X58" s="21">
        <f t="shared" si="1"/>
        <v>1</v>
      </c>
      <c r="Y58" s="21" t="str">
        <f t="shared" si="1"/>
        <v/>
      </c>
      <c r="Z58" s="21" t="str">
        <f t="shared" si="1"/>
        <v/>
      </c>
      <c r="AA58" s="21" t="str">
        <f t="shared" si="1"/>
        <v/>
      </c>
    </row>
    <row r="59" spans="1:27">
      <c r="A59" s="17"/>
      <c r="C59" t="s">
        <v>194</v>
      </c>
      <c r="F59" s="7"/>
      <c r="G59" s="11">
        <f>'Dwelling Mix'!AE90</f>
        <v>17246</v>
      </c>
      <c r="H59" s="13" t="s">
        <v>39</v>
      </c>
      <c r="I59" s="21">
        <f>((553.03+120)/100)*1.075</f>
        <v>7.2350724999999994</v>
      </c>
      <c r="J59" s="13">
        <f>G59*I59</f>
        <v>124776.06033499999</v>
      </c>
      <c r="L59" s="644">
        <f t="shared" ref="L59:L78" si="6">J59</f>
        <v>124776.06033499999</v>
      </c>
      <c r="M59" s="2"/>
      <c r="O59" s="2"/>
      <c r="Q59" s="2"/>
      <c r="R59" s="2"/>
      <c r="S59" s="7"/>
      <c r="V59" s="816">
        <v>54</v>
      </c>
      <c r="W59" s="21" t="s">
        <v>935</v>
      </c>
      <c r="X59" s="21">
        <f t="shared" si="1"/>
        <v>1</v>
      </c>
      <c r="Y59" s="21" t="str">
        <f t="shared" si="1"/>
        <v/>
      </c>
      <c r="Z59" s="21" t="str">
        <f t="shared" si="1"/>
        <v/>
      </c>
      <c r="AA59" s="21" t="str">
        <f t="shared" si="1"/>
        <v/>
      </c>
    </row>
    <row r="60" spans="1:27">
      <c r="A60" s="17"/>
      <c r="B60" s="20"/>
      <c r="C60" t="s">
        <v>171</v>
      </c>
      <c r="D60" s="79"/>
      <c r="E60" s="68"/>
      <c r="F60" s="7"/>
      <c r="G60" s="11">
        <f>'Dwelling Mix'!AB90*9</f>
        <v>4005</v>
      </c>
      <c r="H60" s="13" t="s">
        <v>4</v>
      </c>
      <c r="I60" s="21">
        <v>1.27</v>
      </c>
      <c r="J60" s="13">
        <f>G60*I60</f>
        <v>5086.3500000000004</v>
      </c>
      <c r="L60" s="644">
        <f t="shared" si="6"/>
        <v>5086.3500000000004</v>
      </c>
      <c r="M60" s="2"/>
      <c r="O60" s="2"/>
      <c r="Q60" s="2"/>
      <c r="R60" s="2"/>
      <c r="S60" s="7"/>
      <c r="V60" s="816">
        <v>55</v>
      </c>
      <c r="W60" s="21" t="s">
        <v>936</v>
      </c>
      <c r="X60" s="21" t="str">
        <f t="shared" si="1"/>
        <v/>
      </c>
      <c r="Y60" s="21">
        <f t="shared" si="1"/>
        <v>1</v>
      </c>
      <c r="Z60" s="21" t="str">
        <f t="shared" si="1"/>
        <v/>
      </c>
      <c r="AA60" s="21" t="str">
        <f t="shared" si="1"/>
        <v/>
      </c>
    </row>
    <row r="61" spans="1:27">
      <c r="A61" s="17"/>
      <c r="B61" s="20"/>
      <c r="C61" t="s">
        <v>172</v>
      </c>
      <c r="D61" s="79"/>
      <c r="E61" s="68"/>
      <c r="F61" s="7"/>
      <c r="G61" s="11">
        <f>3*'Dwelling Mix'!AB90</f>
        <v>1335</v>
      </c>
      <c r="H61" s="13" t="s">
        <v>19</v>
      </c>
      <c r="I61" s="70">
        <v>35</v>
      </c>
      <c r="J61" s="13">
        <f>G61*I61</f>
        <v>46725</v>
      </c>
      <c r="L61" s="644">
        <f t="shared" si="6"/>
        <v>46725</v>
      </c>
      <c r="M61" s="2"/>
      <c r="O61" s="2"/>
      <c r="Q61" s="2"/>
      <c r="R61" s="2"/>
      <c r="S61" s="7"/>
      <c r="V61" s="816">
        <v>56</v>
      </c>
      <c r="W61" s="21" t="s">
        <v>936</v>
      </c>
      <c r="X61" s="21" t="str">
        <f t="shared" si="1"/>
        <v/>
      </c>
      <c r="Y61" s="21">
        <f t="shared" si="1"/>
        <v>1</v>
      </c>
      <c r="Z61" s="21" t="str">
        <f t="shared" si="1"/>
        <v/>
      </c>
      <c r="AA61" s="21" t="str">
        <f t="shared" si="1"/>
        <v/>
      </c>
    </row>
    <row r="62" spans="1:27">
      <c r="A62" s="17"/>
      <c r="B62" s="20"/>
      <c r="F62" s="7"/>
      <c r="G62" s="11"/>
      <c r="H62" s="13"/>
      <c r="I62" s="21"/>
      <c r="J62" s="13"/>
      <c r="L62" s="644">
        <f t="shared" si="6"/>
        <v>0</v>
      </c>
      <c r="M62" s="2"/>
      <c r="O62" s="2"/>
      <c r="Q62" s="2"/>
      <c r="R62" s="2"/>
      <c r="S62" s="7"/>
      <c r="V62" s="816">
        <v>57</v>
      </c>
      <c r="W62" s="21" t="s">
        <v>936</v>
      </c>
      <c r="X62" s="21" t="str">
        <f t="shared" si="1"/>
        <v/>
      </c>
      <c r="Y62" s="21">
        <f t="shared" si="1"/>
        <v>1</v>
      </c>
      <c r="Z62" s="21" t="str">
        <f t="shared" si="1"/>
        <v/>
      </c>
      <c r="AA62" s="21" t="str">
        <f t="shared" si="1"/>
        <v/>
      </c>
    </row>
    <row r="63" spans="1:27">
      <c r="A63" s="17"/>
      <c r="B63" s="20"/>
      <c r="F63" s="7"/>
      <c r="G63" s="11"/>
      <c r="H63" s="13"/>
      <c r="I63" s="208"/>
      <c r="J63" s="211"/>
      <c r="L63" s="644">
        <f t="shared" si="6"/>
        <v>0</v>
      </c>
      <c r="M63" s="2"/>
      <c r="O63" s="2"/>
      <c r="Q63" s="2"/>
      <c r="R63" s="2"/>
      <c r="S63" s="7"/>
      <c r="V63" s="816">
        <v>58</v>
      </c>
      <c r="W63" s="21" t="s">
        <v>936</v>
      </c>
      <c r="X63" s="21" t="str">
        <f t="shared" si="1"/>
        <v/>
      </c>
      <c r="Y63" s="21">
        <f t="shared" si="1"/>
        <v>1</v>
      </c>
      <c r="Z63" s="21" t="str">
        <f t="shared" si="1"/>
        <v/>
      </c>
      <c r="AA63" s="21" t="str">
        <f t="shared" si="1"/>
        <v/>
      </c>
    </row>
    <row r="64" spans="1:27">
      <c r="A64" s="17"/>
      <c r="B64" s="20"/>
      <c r="F64" s="7"/>
      <c r="G64" s="11"/>
      <c r="H64" s="13"/>
      <c r="I64" s="208"/>
      <c r="J64" s="211"/>
      <c r="L64" s="644">
        <f t="shared" si="6"/>
        <v>0</v>
      </c>
      <c r="M64" s="2"/>
      <c r="O64" s="2"/>
      <c r="Q64" s="2"/>
      <c r="R64" s="2"/>
      <c r="S64" s="7"/>
      <c r="V64" s="816">
        <v>59</v>
      </c>
      <c r="W64" s="21" t="s">
        <v>936</v>
      </c>
      <c r="X64" s="21" t="str">
        <f t="shared" si="1"/>
        <v/>
      </c>
      <c r="Y64" s="21">
        <f t="shared" si="1"/>
        <v>1</v>
      </c>
      <c r="Z64" s="21" t="str">
        <f t="shared" si="1"/>
        <v/>
      </c>
      <c r="AA64" s="21" t="str">
        <f t="shared" si="1"/>
        <v/>
      </c>
    </row>
    <row r="65" spans="1:27">
      <c r="A65" s="17"/>
      <c r="B65" s="20" t="s">
        <v>744</v>
      </c>
      <c r="F65" s="7"/>
      <c r="G65" s="11"/>
      <c r="H65" s="13"/>
      <c r="I65" s="208"/>
      <c r="J65" s="211"/>
      <c r="L65" s="644">
        <f t="shared" si="6"/>
        <v>0</v>
      </c>
      <c r="M65" s="2"/>
      <c r="O65" s="2"/>
      <c r="Q65" s="2"/>
      <c r="R65" s="2"/>
      <c r="S65" s="7"/>
      <c r="V65" s="816">
        <v>60</v>
      </c>
      <c r="W65" s="21" t="s">
        <v>936</v>
      </c>
      <c r="X65" s="21" t="str">
        <f t="shared" si="1"/>
        <v/>
      </c>
      <c r="Y65" s="21">
        <f t="shared" si="1"/>
        <v>1</v>
      </c>
      <c r="Z65" s="21" t="str">
        <f t="shared" si="1"/>
        <v/>
      </c>
      <c r="AA65" s="21" t="str">
        <f t="shared" si="1"/>
        <v/>
      </c>
    </row>
    <row r="66" spans="1:27">
      <c r="A66" s="17"/>
      <c r="B66" s="20"/>
      <c r="C66" t="s">
        <v>663</v>
      </c>
      <c r="F66" s="557"/>
      <c r="G66" s="11"/>
      <c r="H66" s="13"/>
      <c r="I66" s="208"/>
      <c r="J66" s="211"/>
      <c r="L66" s="644">
        <f t="shared" si="6"/>
        <v>0</v>
      </c>
      <c r="M66" s="2"/>
      <c r="O66" s="2"/>
      <c r="Q66" s="2"/>
      <c r="R66" s="2"/>
      <c r="S66" s="7"/>
      <c r="V66" s="816">
        <v>61</v>
      </c>
      <c r="W66" s="21" t="s">
        <v>936</v>
      </c>
      <c r="X66" s="21" t="str">
        <f t="shared" si="1"/>
        <v/>
      </c>
      <c r="Y66" s="21">
        <f t="shared" si="1"/>
        <v>1</v>
      </c>
      <c r="Z66" s="21" t="str">
        <f t="shared" si="1"/>
        <v/>
      </c>
      <c r="AA66" s="21" t="str">
        <f t="shared" si="1"/>
        <v/>
      </c>
    </row>
    <row r="67" spans="1:27">
      <c r="A67" s="17"/>
      <c r="B67" s="20"/>
      <c r="F67" s="26">
        <f>Z508</f>
        <v>26</v>
      </c>
      <c r="G67" s="11"/>
      <c r="H67" s="13"/>
      <c r="I67" s="208"/>
      <c r="J67" s="211"/>
      <c r="L67" s="644">
        <f t="shared" si="6"/>
        <v>0</v>
      </c>
      <c r="M67" s="2"/>
      <c r="O67" s="2"/>
      <c r="P67" s="645"/>
      <c r="Q67" s="2"/>
      <c r="R67" s="2"/>
      <c r="S67" s="7"/>
      <c r="V67" s="816">
        <v>62</v>
      </c>
      <c r="W67" s="21" t="s">
        <v>936</v>
      </c>
      <c r="X67" s="21" t="str">
        <f t="shared" si="1"/>
        <v/>
      </c>
      <c r="Y67" s="21">
        <f t="shared" si="1"/>
        <v>1</v>
      </c>
      <c r="Z67" s="21" t="str">
        <f t="shared" si="1"/>
        <v/>
      </c>
      <c r="AA67" s="21" t="str">
        <f t="shared" si="1"/>
        <v/>
      </c>
    </row>
    <row r="68" spans="1:27">
      <c r="A68" s="17"/>
      <c r="B68" s="20"/>
      <c r="C68" t="s">
        <v>41</v>
      </c>
      <c r="F68" s="7"/>
      <c r="G68" s="11">
        <f>'Dwelling Mix'!AE90/'Dwelling Mix'!AB90*F67*0.6*1.1</f>
        <v>665.03676404494388</v>
      </c>
      <c r="H68" s="13" t="s">
        <v>18</v>
      </c>
      <c r="I68" s="208">
        <f>I46</f>
        <v>4.5</v>
      </c>
      <c r="J68" s="13">
        <f>G68*I68</f>
        <v>2992.6654382022475</v>
      </c>
      <c r="L68" s="644">
        <f t="shared" si="6"/>
        <v>2992.6654382022475</v>
      </c>
      <c r="M68" s="2"/>
      <c r="O68" s="2"/>
      <c r="Q68" s="2"/>
      <c r="R68" s="2"/>
      <c r="S68" s="7"/>
      <c r="V68" s="816">
        <v>63</v>
      </c>
      <c r="W68" s="21" t="s">
        <v>936</v>
      </c>
      <c r="X68" s="21" t="str">
        <f t="shared" si="1"/>
        <v/>
      </c>
      <c r="Y68" s="21">
        <f t="shared" si="1"/>
        <v>1</v>
      </c>
      <c r="Z68" s="21" t="str">
        <f t="shared" si="1"/>
        <v/>
      </c>
      <c r="AA68" s="21" t="str">
        <f t="shared" si="1"/>
        <v/>
      </c>
    </row>
    <row r="69" spans="1:27">
      <c r="A69" s="17"/>
      <c r="B69" s="20"/>
      <c r="C69" t="s">
        <v>664</v>
      </c>
      <c r="F69" s="7"/>
      <c r="G69" s="11">
        <f>G68</f>
        <v>665.03676404494388</v>
      </c>
      <c r="H69" s="13" t="s">
        <v>18</v>
      </c>
      <c r="I69" s="208">
        <f>'8b. SW Attenuation'!I73</f>
        <v>37.441176470588232</v>
      </c>
      <c r="J69" s="13">
        <f>G69*I69</f>
        <v>24899.758842035691</v>
      </c>
      <c r="L69" s="644">
        <f t="shared" si="6"/>
        <v>24899.758842035691</v>
      </c>
      <c r="M69" s="2"/>
      <c r="O69" s="2"/>
      <c r="Q69" s="2"/>
      <c r="R69" s="2"/>
      <c r="S69" s="7"/>
      <c r="V69" s="816">
        <v>64</v>
      </c>
      <c r="W69" s="21" t="s">
        <v>936</v>
      </c>
      <c r="X69" s="21" t="str">
        <f t="shared" si="1"/>
        <v/>
      </c>
      <c r="Y69" s="21">
        <f t="shared" si="1"/>
        <v>1</v>
      </c>
      <c r="Z69" s="21" t="str">
        <f t="shared" si="1"/>
        <v/>
      </c>
      <c r="AA69" s="21" t="str">
        <f t="shared" si="1"/>
        <v/>
      </c>
    </row>
    <row r="70" spans="1:27">
      <c r="A70" s="17"/>
      <c r="B70" s="20"/>
      <c r="C70" t="s">
        <v>665</v>
      </c>
      <c r="F70" s="7"/>
      <c r="G70" s="11">
        <f>G69</f>
        <v>665.03676404494388</v>
      </c>
      <c r="H70" s="13" t="s">
        <v>18</v>
      </c>
      <c r="I70" s="208">
        <v>138</v>
      </c>
      <c r="J70" s="13">
        <f>G70*I70</f>
        <v>91775.073438202249</v>
      </c>
      <c r="L70" s="644">
        <f t="shared" si="6"/>
        <v>91775.073438202249</v>
      </c>
      <c r="M70" s="2"/>
      <c r="O70" s="2"/>
      <c r="Q70" s="2"/>
      <c r="R70" s="2"/>
      <c r="S70" s="7"/>
      <c r="V70" s="816">
        <v>65</v>
      </c>
      <c r="W70" s="21" t="s">
        <v>936</v>
      </c>
      <c r="X70" s="21" t="str">
        <f t="shared" si="1"/>
        <v/>
      </c>
      <c r="Y70" s="21">
        <f t="shared" si="1"/>
        <v>1</v>
      </c>
      <c r="Z70" s="21" t="str">
        <f t="shared" si="1"/>
        <v/>
      </c>
      <c r="AA70" s="21" t="str">
        <f t="shared" si="1"/>
        <v/>
      </c>
    </row>
    <row r="71" spans="1:27">
      <c r="A71" s="17"/>
      <c r="B71" s="20"/>
      <c r="F71" s="7"/>
      <c r="G71" s="11"/>
      <c r="H71" s="13"/>
      <c r="I71" s="208"/>
      <c r="J71" s="211"/>
      <c r="L71" s="644">
        <f t="shared" si="6"/>
        <v>0</v>
      </c>
      <c r="M71" s="2"/>
      <c r="O71" s="2"/>
      <c r="Q71" s="2"/>
      <c r="R71" s="2"/>
      <c r="S71" s="7"/>
      <c r="V71" s="816">
        <v>66</v>
      </c>
      <c r="W71" s="21" t="s">
        <v>936</v>
      </c>
      <c r="X71" s="21" t="str">
        <f t="shared" si="1"/>
        <v/>
      </c>
      <c r="Y71" s="21">
        <f t="shared" si="1"/>
        <v>1</v>
      </c>
      <c r="Z71" s="21" t="str">
        <f t="shared" si="1"/>
        <v/>
      </c>
      <c r="AA71" s="21" t="str">
        <f t="shared" si="1"/>
        <v/>
      </c>
    </row>
    <row r="72" spans="1:27">
      <c r="A72" s="17"/>
      <c r="B72" s="20"/>
      <c r="F72" s="7"/>
      <c r="G72" s="11"/>
      <c r="H72" s="13"/>
      <c r="I72" s="208"/>
      <c r="J72" s="211"/>
      <c r="L72" s="644">
        <f t="shared" si="6"/>
        <v>0</v>
      </c>
      <c r="M72" s="2"/>
      <c r="O72" s="2"/>
      <c r="Q72" s="2"/>
      <c r="R72" s="2"/>
      <c r="S72" s="7"/>
      <c r="V72" s="816">
        <v>67</v>
      </c>
      <c r="W72" s="21" t="s">
        <v>936</v>
      </c>
      <c r="X72" s="21" t="str">
        <f t="shared" ref="X72:AA135" si="7">IF($W72=X$4,1,"")</f>
        <v/>
      </c>
      <c r="Y72" s="21">
        <f t="shared" si="7"/>
        <v>1</v>
      </c>
      <c r="Z72" s="21" t="str">
        <f t="shared" si="7"/>
        <v/>
      </c>
      <c r="AA72" s="21" t="str">
        <f t="shared" si="7"/>
        <v/>
      </c>
    </row>
    <row r="73" spans="1:27">
      <c r="A73" s="17"/>
      <c r="B73" s="20" t="s">
        <v>916</v>
      </c>
      <c r="F73" s="7"/>
      <c r="G73" s="11"/>
      <c r="H73" s="13"/>
      <c r="I73" s="208"/>
      <c r="J73" s="211"/>
      <c r="L73" s="644">
        <f t="shared" si="6"/>
        <v>0</v>
      </c>
      <c r="M73" s="2"/>
      <c r="O73" s="2"/>
      <c r="Q73" s="2"/>
      <c r="R73" s="2"/>
      <c r="S73" s="7"/>
      <c r="V73" s="816">
        <v>68</v>
      </c>
      <c r="W73" s="21" t="s">
        <v>936</v>
      </c>
      <c r="X73" s="21" t="str">
        <f t="shared" si="7"/>
        <v/>
      </c>
      <c r="Y73" s="21">
        <f t="shared" si="7"/>
        <v>1</v>
      </c>
      <c r="Z73" s="21" t="str">
        <f t="shared" si="7"/>
        <v/>
      </c>
      <c r="AA73" s="21" t="str">
        <f t="shared" si="7"/>
        <v/>
      </c>
    </row>
    <row r="74" spans="1:27">
      <c r="A74" s="17"/>
      <c r="B74" s="20"/>
      <c r="C74" t="s">
        <v>663</v>
      </c>
      <c r="F74" s="7"/>
      <c r="G74" s="11"/>
      <c r="H74" s="13"/>
      <c r="I74" s="208"/>
      <c r="J74" s="211"/>
      <c r="L74" s="644">
        <f t="shared" si="6"/>
        <v>0</v>
      </c>
      <c r="M74" s="2"/>
      <c r="O74" s="2"/>
      <c r="Q74" s="2"/>
      <c r="R74" s="2"/>
      <c r="S74" s="7"/>
      <c r="V74" s="816">
        <v>69</v>
      </c>
      <c r="W74" s="21" t="s">
        <v>935</v>
      </c>
      <c r="X74" s="21">
        <f t="shared" si="7"/>
        <v>1</v>
      </c>
      <c r="Y74" s="21" t="str">
        <f t="shared" si="7"/>
        <v/>
      </c>
      <c r="Z74" s="21" t="str">
        <f t="shared" si="7"/>
        <v/>
      </c>
      <c r="AA74" s="21" t="str">
        <f t="shared" si="7"/>
        <v/>
      </c>
    </row>
    <row r="75" spans="1:27">
      <c r="A75" s="17"/>
      <c r="B75" s="20"/>
      <c r="F75" s="7"/>
      <c r="G75" s="11"/>
      <c r="H75" s="13"/>
      <c r="I75" s="208"/>
      <c r="J75" s="211"/>
      <c r="L75" s="644">
        <f t="shared" si="6"/>
        <v>0</v>
      </c>
      <c r="M75" s="2"/>
      <c r="O75" s="2"/>
      <c r="P75" s="645"/>
      <c r="Q75" s="2"/>
      <c r="R75" s="2"/>
      <c r="S75" s="7"/>
      <c r="V75" s="816">
        <v>70</v>
      </c>
      <c r="W75" s="21" t="s">
        <v>936</v>
      </c>
      <c r="X75" s="21" t="str">
        <f t="shared" si="7"/>
        <v/>
      </c>
      <c r="Y75" s="21">
        <f t="shared" si="7"/>
        <v>1</v>
      </c>
      <c r="Z75" s="21" t="str">
        <f t="shared" si="7"/>
        <v/>
      </c>
      <c r="AA75" s="21" t="str">
        <f t="shared" si="7"/>
        <v/>
      </c>
    </row>
    <row r="76" spans="1:27">
      <c r="A76" s="17"/>
      <c r="B76" s="20"/>
      <c r="C76" t="s">
        <v>666</v>
      </c>
      <c r="F76" s="7"/>
      <c r="G76" s="11">
        <f>'Dwelling Mix'!AE90*0.1</f>
        <v>1724.6000000000001</v>
      </c>
      <c r="H76" s="13" t="s">
        <v>668</v>
      </c>
      <c r="I76" s="208">
        <v>17.5</v>
      </c>
      <c r="J76" s="13">
        <f>G76*I76</f>
        <v>30180.500000000004</v>
      </c>
      <c r="L76" s="644">
        <f t="shared" si="6"/>
        <v>30180.500000000004</v>
      </c>
      <c r="M76" s="2"/>
      <c r="O76" s="2"/>
      <c r="Q76" s="2"/>
      <c r="R76" s="2"/>
      <c r="S76" s="7"/>
      <c r="V76" s="816">
        <v>71</v>
      </c>
      <c r="W76" s="21" t="s">
        <v>935</v>
      </c>
      <c r="X76" s="21">
        <f t="shared" si="7"/>
        <v>1</v>
      </c>
      <c r="Y76" s="21" t="str">
        <f t="shared" si="7"/>
        <v/>
      </c>
      <c r="Z76" s="21" t="str">
        <f t="shared" si="7"/>
        <v/>
      </c>
      <c r="AA76" s="21" t="str">
        <f t="shared" si="7"/>
        <v/>
      </c>
    </row>
    <row r="77" spans="1:27">
      <c r="A77" s="17"/>
      <c r="B77" s="20"/>
      <c r="C77" t="s">
        <v>667</v>
      </c>
      <c r="F77" s="7"/>
      <c r="G77" s="11">
        <f>'Dwelling Mix'!AF90*0.1</f>
        <v>2226.8000000000002</v>
      </c>
      <c r="H77" s="13" t="s">
        <v>39</v>
      </c>
      <c r="I77" s="208">
        <v>36</v>
      </c>
      <c r="J77" s="13">
        <f>G77*I77</f>
        <v>80164.800000000003</v>
      </c>
      <c r="L77" s="644">
        <f t="shared" si="6"/>
        <v>80164.800000000003</v>
      </c>
      <c r="M77" s="2"/>
      <c r="O77" s="2"/>
      <c r="Q77" s="2"/>
      <c r="R77" s="2"/>
      <c r="S77" s="7"/>
      <c r="V77" s="816">
        <v>72</v>
      </c>
      <c r="W77" s="21" t="s">
        <v>935</v>
      </c>
      <c r="X77" s="21">
        <f t="shared" si="7"/>
        <v>1</v>
      </c>
      <c r="Y77" s="21" t="str">
        <f t="shared" si="7"/>
        <v/>
      </c>
      <c r="Z77" s="21" t="str">
        <f t="shared" si="7"/>
        <v/>
      </c>
      <c r="AA77" s="21" t="str">
        <f t="shared" si="7"/>
        <v/>
      </c>
    </row>
    <row r="78" spans="1:27">
      <c r="A78" s="17"/>
      <c r="B78" s="20"/>
      <c r="F78" s="7"/>
      <c r="G78" s="11"/>
      <c r="H78" s="13"/>
      <c r="I78" s="208"/>
      <c r="J78" s="13"/>
      <c r="L78" s="644">
        <f t="shared" si="6"/>
        <v>0</v>
      </c>
      <c r="M78" s="2"/>
      <c r="O78" s="2"/>
      <c r="Q78" s="2"/>
      <c r="R78" s="2"/>
      <c r="S78" s="7"/>
      <c r="V78" s="816">
        <v>73</v>
      </c>
      <c r="W78" s="21" t="s">
        <v>936</v>
      </c>
      <c r="X78" s="21" t="str">
        <f t="shared" si="7"/>
        <v/>
      </c>
      <c r="Y78" s="21">
        <f t="shared" si="7"/>
        <v>1</v>
      </c>
      <c r="Z78" s="21" t="str">
        <f t="shared" si="7"/>
        <v/>
      </c>
      <c r="AA78" s="21" t="str">
        <f t="shared" si="7"/>
        <v/>
      </c>
    </row>
    <row r="79" spans="1:27">
      <c r="A79" s="17"/>
      <c r="B79" s="20" t="s">
        <v>584</v>
      </c>
      <c r="F79" s="7"/>
      <c r="G79" s="11">
        <f>3.5*'Dwelling Mix'!P90</f>
        <v>1057</v>
      </c>
      <c r="H79" s="13" t="s">
        <v>39</v>
      </c>
      <c r="I79" s="208">
        <v>38</v>
      </c>
      <c r="J79" s="13">
        <f>G79*I79</f>
        <v>40166</v>
      </c>
      <c r="L79" s="644">
        <f>J79</f>
        <v>40166</v>
      </c>
      <c r="M79" s="2"/>
      <c r="O79" s="2"/>
      <c r="Q79" s="2"/>
      <c r="R79" s="2"/>
      <c r="S79" s="7"/>
      <c r="V79" s="816">
        <v>74</v>
      </c>
      <c r="W79" s="21" t="s">
        <v>936</v>
      </c>
      <c r="X79" s="21" t="str">
        <f t="shared" si="7"/>
        <v/>
      </c>
      <c r="Y79" s="21">
        <f t="shared" si="7"/>
        <v>1</v>
      </c>
      <c r="Z79" s="21" t="str">
        <f t="shared" si="7"/>
        <v/>
      </c>
      <c r="AA79" s="21" t="str">
        <f t="shared" si="7"/>
        <v/>
      </c>
    </row>
    <row r="80" spans="1:27">
      <c r="A80" s="17"/>
      <c r="B80" s="20"/>
      <c r="F80" s="7"/>
      <c r="G80" s="11"/>
      <c r="H80" s="13"/>
      <c r="I80" s="208"/>
      <c r="J80" s="211"/>
      <c r="L80" s="644">
        <f>J80</f>
        <v>0</v>
      </c>
      <c r="M80" s="2"/>
      <c r="O80" s="2"/>
      <c r="Q80" s="2"/>
      <c r="R80" s="2"/>
      <c r="S80" s="7"/>
      <c r="V80" s="816">
        <v>75</v>
      </c>
      <c r="W80" s="21" t="s">
        <v>937</v>
      </c>
      <c r="X80" s="21" t="str">
        <f t="shared" si="7"/>
        <v/>
      </c>
      <c r="Y80" s="21" t="str">
        <f t="shared" si="7"/>
        <v/>
      </c>
      <c r="Z80" s="21">
        <f t="shared" si="7"/>
        <v>1</v>
      </c>
      <c r="AA80" s="21" t="str">
        <f t="shared" si="7"/>
        <v/>
      </c>
    </row>
    <row r="81" spans="1:27">
      <c r="A81" s="17"/>
      <c r="B81" s="20"/>
      <c r="C81" t="s">
        <v>837</v>
      </c>
      <c r="F81" s="7"/>
      <c r="G81" s="11">
        <f>'10. Retaining Walls'!V508</f>
        <v>81</v>
      </c>
      <c r="H81" s="13" t="s">
        <v>4</v>
      </c>
      <c r="I81" s="208">
        <v>230</v>
      </c>
      <c r="J81" s="13">
        <f>G81*I81</f>
        <v>18630</v>
      </c>
      <c r="L81" s="644">
        <f>J81</f>
        <v>18630</v>
      </c>
      <c r="M81" s="2"/>
      <c r="O81" s="2"/>
      <c r="Q81" s="2"/>
      <c r="R81" s="2"/>
      <c r="S81" s="7"/>
      <c r="V81" s="816">
        <v>76</v>
      </c>
      <c r="W81" s="21" t="s">
        <v>937</v>
      </c>
      <c r="X81" s="21" t="str">
        <f t="shared" si="7"/>
        <v/>
      </c>
      <c r="Y81" s="21" t="str">
        <f t="shared" si="7"/>
        <v/>
      </c>
      <c r="Z81" s="21">
        <f t="shared" si="7"/>
        <v>1</v>
      </c>
      <c r="AA81" s="21" t="str">
        <f t="shared" si="7"/>
        <v/>
      </c>
    </row>
    <row r="82" spans="1:27">
      <c r="B82" s="203"/>
      <c r="C82" s="217"/>
      <c r="D82" s="217"/>
      <c r="E82" s="217"/>
      <c r="F82" s="218"/>
      <c r="G82" s="219"/>
      <c r="H82" s="220"/>
      <c r="I82" s="208"/>
      <c r="J82" s="211"/>
      <c r="L82" s="6"/>
      <c r="M82" s="2"/>
      <c r="O82" s="2"/>
      <c r="Q82" s="2"/>
      <c r="R82" s="2"/>
      <c r="S82" s="7"/>
      <c r="V82" s="816">
        <v>77</v>
      </c>
      <c r="W82" s="21" t="s">
        <v>937</v>
      </c>
      <c r="X82" s="21" t="str">
        <f t="shared" si="7"/>
        <v/>
      </c>
      <c r="Y82" s="21" t="str">
        <f t="shared" si="7"/>
        <v/>
      </c>
      <c r="Z82" s="21">
        <f t="shared" si="7"/>
        <v>1</v>
      </c>
      <c r="AA82" s="21" t="str">
        <f t="shared" si="7"/>
        <v/>
      </c>
    </row>
    <row r="83" spans="1:27">
      <c r="B83" s="203"/>
      <c r="F83" s="7"/>
      <c r="G83" s="11"/>
      <c r="H83" s="13"/>
      <c r="I83" s="21"/>
      <c r="J83" s="13"/>
      <c r="L83" s="6"/>
      <c r="M83" s="2"/>
      <c r="O83" s="2"/>
      <c r="Q83" s="2"/>
      <c r="R83" s="2"/>
      <c r="S83" s="7"/>
      <c r="V83" s="816">
        <v>78</v>
      </c>
      <c r="W83" s="21" t="s">
        <v>937</v>
      </c>
      <c r="X83" s="21" t="str">
        <f t="shared" si="7"/>
        <v/>
      </c>
      <c r="Y83" s="21" t="str">
        <f t="shared" si="7"/>
        <v/>
      </c>
      <c r="Z83" s="21">
        <f t="shared" si="7"/>
        <v>1</v>
      </c>
      <c r="AA83" s="21" t="str">
        <f t="shared" si="7"/>
        <v/>
      </c>
    </row>
    <row r="84" spans="1:27" ht="16" thickBot="1">
      <c r="B84" s="6"/>
      <c r="F84" s="7"/>
      <c r="G84" s="11"/>
      <c r="H84" s="13"/>
      <c r="I84" s="21"/>
      <c r="J84" s="47">
        <f>SUM(J9:J83)</f>
        <v>3132729.9714532876</v>
      </c>
      <c r="L84" s="47">
        <f t="shared" ref="L84:S84" si="8">SUM(L9:L83)</f>
        <v>3132729.9714532876</v>
      </c>
      <c r="M84" s="47">
        <f t="shared" si="8"/>
        <v>0</v>
      </c>
      <c r="N84" s="47">
        <f t="shared" si="8"/>
        <v>0</v>
      </c>
      <c r="O84" s="47">
        <f t="shared" si="8"/>
        <v>0</v>
      </c>
      <c r="P84" s="47">
        <f t="shared" si="8"/>
        <v>0</v>
      </c>
      <c r="Q84" s="47">
        <f t="shared" si="8"/>
        <v>0</v>
      </c>
      <c r="R84" s="47">
        <f t="shared" si="8"/>
        <v>0</v>
      </c>
      <c r="S84" s="47">
        <f t="shared" si="8"/>
        <v>0</v>
      </c>
      <c r="V84" s="816">
        <v>79</v>
      </c>
      <c r="W84" s="21" t="s">
        <v>937</v>
      </c>
      <c r="X84" s="21" t="str">
        <f t="shared" si="7"/>
        <v/>
      </c>
      <c r="Y84" s="21" t="str">
        <f t="shared" si="7"/>
        <v/>
      </c>
      <c r="Z84" s="21">
        <f t="shared" si="7"/>
        <v>1</v>
      </c>
      <c r="AA84" s="21" t="str">
        <f t="shared" si="7"/>
        <v/>
      </c>
    </row>
    <row r="85" spans="1:27">
      <c r="B85" s="8"/>
      <c r="C85" s="9"/>
      <c r="D85" s="9"/>
      <c r="E85" s="9"/>
      <c r="F85" s="10"/>
      <c r="G85" s="14"/>
      <c r="H85" s="15"/>
      <c r="I85" s="23"/>
      <c r="J85" s="15"/>
      <c r="L85" s="8"/>
      <c r="M85" s="63"/>
      <c r="N85" s="9"/>
      <c r="O85" s="63"/>
      <c r="P85" s="9"/>
      <c r="Q85" s="63"/>
      <c r="R85" s="63"/>
      <c r="S85" s="10"/>
      <c r="V85" s="816">
        <v>80</v>
      </c>
      <c r="W85" s="21" t="s">
        <v>937</v>
      </c>
      <c r="X85" s="21" t="str">
        <f t="shared" si="7"/>
        <v/>
      </c>
      <c r="Y85" s="21" t="str">
        <f t="shared" si="7"/>
        <v/>
      </c>
      <c r="Z85" s="21">
        <f t="shared" si="7"/>
        <v>1</v>
      </c>
      <c r="AA85" s="21" t="str">
        <f t="shared" si="7"/>
        <v/>
      </c>
    </row>
    <row r="86" spans="1:27">
      <c r="V86" s="816">
        <v>81</v>
      </c>
      <c r="W86" s="21" t="s">
        <v>937</v>
      </c>
      <c r="X86" s="21" t="str">
        <f t="shared" si="7"/>
        <v/>
      </c>
      <c r="Y86" s="21" t="str">
        <f t="shared" si="7"/>
        <v/>
      </c>
      <c r="Z86" s="21">
        <f t="shared" si="7"/>
        <v>1</v>
      </c>
      <c r="AA86" s="21" t="str">
        <f t="shared" si="7"/>
        <v/>
      </c>
    </row>
    <row r="87" spans="1:27">
      <c r="V87" s="816">
        <v>82</v>
      </c>
      <c r="W87" s="21" t="s">
        <v>937</v>
      </c>
      <c r="X87" s="21" t="str">
        <f t="shared" si="7"/>
        <v/>
      </c>
      <c r="Y87" s="21" t="str">
        <f t="shared" si="7"/>
        <v/>
      </c>
      <c r="Z87" s="21">
        <f t="shared" si="7"/>
        <v>1</v>
      </c>
      <c r="AA87" s="21" t="str">
        <f t="shared" si="7"/>
        <v/>
      </c>
    </row>
    <row r="88" spans="1:27">
      <c r="V88" s="816">
        <v>83</v>
      </c>
      <c r="W88" s="21" t="s">
        <v>937</v>
      </c>
      <c r="X88" s="21" t="str">
        <f t="shared" si="7"/>
        <v/>
      </c>
      <c r="Y88" s="21" t="str">
        <f t="shared" si="7"/>
        <v/>
      </c>
      <c r="Z88" s="21">
        <f t="shared" si="7"/>
        <v>1</v>
      </c>
      <c r="AA88" s="21" t="str">
        <f t="shared" si="7"/>
        <v/>
      </c>
    </row>
    <row r="89" spans="1:27">
      <c r="V89" s="816">
        <v>84</v>
      </c>
      <c r="W89" s="21" t="s">
        <v>935</v>
      </c>
      <c r="X89" s="21">
        <f t="shared" si="7"/>
        <v>1</v>
      </c>
      <c r="Y89" s="21" t="str">
        <f t="shared" si="7"/>
        <v/>
      </c>
      <c r="Z89" s="21" t="str">
        <f t="shared" si="7"/>
        <v/>
      </c>
      <c r="AA89" s="21" t="str">
        <f t="shared" si="7"/>
        <v/>
      </c>
    </row>
    <row r="90" spans="1:27">
      <c r="V90" s="816">
        <v>85</v>
      </c>
      <c r="W90" s="21" t="s">
        <v>935</v>
      </c>
      <c r="X90" s="21">
        <f t="shared" si="7"/>
        <v>1</v>
      </c>
      <c r="Y90" s="21" t="str">
        <f t="shared" si="7"/>
        <v/>
      </c>
      <c r="Z90" s="21" t="str">
        <f t="shared" si="7"/>
        <v/>
      </c>
      <c r="AA90" s="21" t="str">
        <f t="shared" si="7"/>
        <v/>
      </c>
    </row>
    <row r="91" spans="1:27">
      <c r="V91" s="816">
        <v>86</v>
      </c>
      <c r="W91" s="21" t="s">
        <v>935</v>
      </c>
      <c r="X91" s="21">
        <f t="shared" si="7"/>
        <v>1</v>
      </c>
      <c r="Y91" s="21" t="str">
        <f t="shared" si="7"/>
        <v/>
      </c>
      <c r="Z91" s="21" t="str">
        <f t="shared" si="7"/>
        <v/>
      </c>
      <c r="AA91" s="21" t="str">
        <f t="shared" si="7"/>
        <v/>
      </c>
    </row>
    <row r="92" spans="1:27">
      <c r="V92" s="816">
        <v>87</v>
      </c>
      <c r="W92" s="21" t="s">
        <v>936</v>
      </c>
      <c r="X92" s="21" t="str">
        <f t="shared" si="7"/>
        <v/>
      </c>
      <c r="Y92" s="21">
        <f t="shared" si="7"/>
        <v>1</v>
      </c>
      <c r="Z92" s="21" t="str">
        <f t="shared" si="7"/>
        <v/>
      </c>
      <c r="AA92" s="21" t="str">
        <f t="shared" si="7"/>
        <v/>
      </c>
    </row>
    <row r="93" spans="1:27">
      <c r="V93" s="816">
        <v>88</v>
      </c>
      <c r="W93" s="21" t="s">
        <v>936</v>
      </c>
      <c r="X93" s="21" t="str">
        <f t="shared" si="7"/>
        <v/>
      </c>
      <c r="Y93" s="21">
        <f t="shared" si="7"/>
        <v>1</v>
      </c>
      <c r="Z93" s="21" t="str">
        <f t="shared" si="7"/>
        <v/>
      </c>
      <c r="AA93" s="21" t="str">
        <f t="shared" si="7"/>
        <v/>
      </c>
    </row>
    <row r="94" spans="1:27">
      <c r="V94" s="816">
        <v>89</v>
      </c>
      <c r="W94" s="21" t="s">
        <v>936</v>
      </c>
      <c r="X94" s="21" t="str">
        <f t="shared" si="7"/>
        <v/>
      </c>
      <c r="Y94" s="21">
        <f t="shared" si="7"/>
        <v>1</v>
      </c>
      <c r="Z94" s="21" t="str">
        <f t="shared" si="7"/>
        <v/>
      </c>
      <c r="AA94" s="21" t="str">
        <f t="shared" si="7"/>
        <v/>
      </c>
    </row>
    <row r="95" spans="1:27">
      <c r="V95" s="816">
        <v>90</v>
      </c>
      <c r="W95" s="21" t="s">
        <v>936</v>
      </c>
      <c r="X95" s="21" t="str">
        <f t="shared" si="7"/>
        <v/>
      </c>
      <c r="Y95" s="21">
        <f t="shared" si="7"/>
        <v>1</v>
      </c>
      <c r="Z95" s="21" t="str">
        <f t="shared" si="7"/>
        <v/>
      </c>
      <c r="AA95" s="21" t="str">
        <f t="shared" si="7"/>
        <v/>
      </c>
    </row>
    <row r="96" spans="1:27">
      <c r="V96" s="816">
        <v>91</v>
      </c>
      <c r="W96" s="21" t="s">
        <v>936</v>
      </c>
      <c r="X96" s="21" t="str">
        <f t="shared" si="7"/>
        <v/>
      </c>
      <c r="Y96" s="21">
        <f t="shared" si="7"/>
        <v>1</v>
      </c>
      <c r="Z96" s="21" t="str">
        <f t="shared" si="7"/>
        <v/>
      </c>
      <c r="AA96" s="21" t="str">
        <f t="shared" si="7"/>
        <v/>
      </c>
    </row>
    <row r="97" spans="22:27">
      <c r="V97" s="816">
        <v>92</v>
      </c>
      <c r="W97" s="21" t="s">
        <v>936</v>
      </c>
      <c r="X97" s="21" t="str">
        <f t="shared" si="7"/>
        <v/>
      </c>
      <c r="Y97" s="21">
        <f t="shared" si="7"/>
        <v>1</v>
      </c>
      <c r="Z97" s="21" t="str">
        <f t="shared" si="7"/>
        <v/>
      </c>
      <c r="AA97" s="21" t="str">
        <f t="shared" si="7"/>
        <v/>
      </c>
    </row>
    <row r="98" spans="22:27">
      <c r="V98" s="816">
        <v>93</v>
      </c>
      <c r="W98" s="21" t="s">
        <v>936</v>
      </c>
      <c r="X98" s="21" t="str">
        <f t="shared" si="7"/>
        <v/>
      </c>
      <c r="Y98" s="21">
        <f t="shared" si="7"/>
        <v>1</v>
      </c>
      <c r="Z98" s="21" t="str">
        <f t="shared" si="7"/>
        <v/>
      </c>
      <c r="AA98" s="21" t="str">
        <f t="shared" si="7"/>
        <v/>
      </c>
    </row>
    <row r="99" spans="22:27">
      <c r="V99" s="816">
        <v>94</v>
      </c>
      <c r="W99" s="21" t="s">
        <v>936</v>
      </c>
      <c r="X99" s="21" t="str">
        <f t="shared" si="7"/>
        <v/>
      </c>
      <c r="Y99" s="21">
        <f t="shared" si="7"/>
        <v>1</v>
      </c>
      <c r="Z99" s="21" t="str">
        <f t="shared" si="7"/>
        <v/>
      </c>
      <c r="AA99" s="21" t="str">
        <f t="shared" si="7"/>
        <v/>
      </c>
    </row>
    <row r="100" spans="22:27">
      <c r="V100" s="816">
        <v>95</v>
      </c>
      <c r="W100" s="21" t="s">
        <v>935</v>
      </c>
      <c r="X100" s="21">
        <f t="shared" si="7"/>
        <v>1</v>
      </c>
      <c r="Y100" s="21" t="str">
        <f t="shared" si="7"/>
        <v/>
      </c>
      <c r="Z100" s="21" t="str">
        <f t="shared" si="7"/>
        <v/>
      </c>
      <c r="AA100" s="21" t="str">
        <f t="shared" si="7"/>
        <v/>
      </c>
    </row>
    <row r="101" spans="22:27">
      <c r="V101" s="816">
        <v>96</v>
      </c>
      <c r="W101" s="21" t="s">
        <v>936</v>
      </c>
      <c r="X101" s="21" t="str">
        <f t="shared" si="7"/>
        <v/>
      </c>
      <c r="Y101" s="21">
        <f t="shared" si="7"/>
        <v>1</v>
      </c>
      <c r="Z101" s="21" t="str">
        <f t="shared" si="7"/>
        <v/>
      </c>
      <c r="AA101" s="21" t="str">
        <f t="shared" si="7"/>
        <v/>
      </c>
    </row>
    <row r="102" spans="22:27">
      <c r="V102" s="816">
        <v>97</v>
      </c>
      <c r="W102" s="21" t="s">
        <v>936</v>
      </c>
      <c r="X102" s="21" t="str">
        <f t="shared" si="7"/>
        <v/>
      </c>
      <c r="Y102" s="21">
        <f t="shared" si="7"/>
        <v>1</v>
      </c>
      <c r="Z102" s="21" t="str">
        <f t="shared" si="7"/>
        <v/>
      </c>
      <c r="AA102" s="21" t="str">
        <f t="shared" si="7"/>
        <v/>
      </c>
    </row>
    <row r="103" spans="22:27">
      <c r="V103" s="816">
        <v>98</v>
      </c>
      <c r="W103" s="21" t="s">
        <v>936</v>
      </c>
      <c r="X103" s="21" t="str">
        <f t="shared" si="7"/>
        <v/>
      </c>
      <c r="Y103" s="21">
        <f t="shared" si="7"/>
        <v>1</v>
      </c>
      <c r="Z103" s="21" t="str">
        <f t="shared" si="7"/>
        <v/>
      </c>
      <c r="AA103" s="21" t="str">
        <f t="shared" si="7"/>
        <v/>
      </c>
    </row>
    <row r="104" spans="22:27">
      <c r="V104" s="816">
        <v>99</v>
      </c>
      <c r="W104" s="21" t="s">
        <v>936</v>
      </c>
      <c r="X104" s="21" t="str">
        <f t="shared" si="7"/>
        <v/>
      </c>
      <c r="Y104" s="21">
        <f t="shared" si="7"/>
        <v>1</v>
      </c>
      <c r="Z104" s="21" t="str">
        <f t="shared" si="7"/>
        <v/>
      </c>
      <c r="AA104" s="21" t="str">
        <f t="shared" si="7"/>
        <v/>
      </c>
    </row>
    <row r="105" spans="22:27">
      <c r="V105" s="816">
        <v>100</v>
      </c>
      <c r="W105" s="21" t="s">
        <v>936</v>
      </c>
      <c r="X105" s="21" t="str">
        <f t="shared" si="7"/>
        <v/>
      </c>
      <c r="Y105" s="21">
        <f t="shared" si="7"/>
        <v>1</v>
      </c>
      <c r="Z105" s="21" t="str">
        <f t="shared" si="7"/>
        <v/>
      </c>
      <c r="AA105" s="21" t="str">
        <f t="shared" si="7"/>
        <v/>
      </c>
    </row>
    <row r="106" spans="22:27">
      <c r="V106" s="816">
        <v>101</v>
      </c>
      <c r="W106" s="21" t="s">
        <v>936</v>
      </c>
      <c r="X106" s="21" t="str">
        <f t="shared" si="7"/>
        <v/>
      </c>
      <c r="Y106" s="21">
        <f t="shared" si="7"/>
        <v>1</v>
      </c>
      <c r="Z106" s="21" t="str">
        <f t="shared" si="7"/>
        <v/>
      </c>
      <c r="AA106" s="21" t="str">
        <f t="shared" si="7"/>
        <v/>
      </c>
    </row>
    <row r="107" spans="22:27">
      <c r="V107" s="816">
        <v>102</v>
      </c>
      <c r="W107" s="21" t="s">
        <v>936</v>
      </c>
      <c r="X107" s="21" t="str">
        <f t="shared" si="7"/>
        <v/>
      </c>
      <c r="Y107" s="21">
        <f t="shared" si="7"/>
        <v>1</v>
      </c>
      <c r="Z107" s="21" t="str">
        <f t="shared" si="7"/>
        <v/>
      </c>
      <c r="AA107" s="21" t="str">
        <f t="shared" si="7"/>
        <v/>
      </c>
    </row>
    <row r="108" spans="22:27">
      <c r="V108" s="816">
        <v>103</v>
      </c>
      <c r="W108" s="21" t="s">
        <v>936</v>
      </c>
      <c r="X108" s="21" t="str">
        <f t="shared" si="7"/>
        <v/>
      </c>
      <c r="Y108" s="21">
        <f t="shared" si="7"/>
        <v>1</v>
      </c>
      <c r="Z108" s="21" t="str">
        <f t="shared" si="7"/>
        <v/>
      </c>
      <c r="AA108" s="21" t="str">
        <f t="shared" si="7"/>
        <v/>
      </c>
    </row>
    <row r="109" spans="22:27">
      <c r="V109" s="816">
        <v>104</v>
      </c>
      <c r="W109" s="21" t="s">
        <v>936</v>
      </c>
      <c r="X109" s="21" t="str">
        <f t="shared" si="7"/>
        <v/>
      </c>
      <c r="Y109" s="21">
        <f t="shared" si="7"/>
        <v>1</v>
      </c>
      <c r="Z109" s="21" t="str">
        <f t="shared" si="7"/>
        <v/>
      </c>
      <c r="AA109" s="21" t="str">
        <f t="shared" si="7"/>
        <v/>
      </c>
    </row>
    <row r="110" spans="22:27">
      <c r="V110" s="816">
        <v>105</v>
      </c>
      <c r="W110" s="21" t="s">
        <v>936</v>
      </c>
      <c r="X110" s="21" t="str">
        <f t="shared" si="7"/>
        <v/>
      </c>
      <c r="Y110" s="21">
        <f t="shared" si="7"/>
        <v>1</v>
      </c>
      <c r="Z110" s="21" t="str">
        <f t="shared" si="7"/>
        <v/>
      </c>
      <c r="AA110" s="21" t="str">
        <f t="shared" si="7"/>
        <v/>
      </c>
    </row>
    <row r="111" spans="22:27">
      <c r="V111" s="816">
        <v>106</v>
      </c>
      <c r="W111" s="21" t="s">
        <v>936</v>
      </c>
      <c r="X111" s="21" t="str">
        <f t="shared" si="7"/>
        <v/>
      </c>
      <c r="Y111" s="21">
        <f t="shared" si="7"/>
        <v>1</v>
      </c>
      <c r="Z111" s="21" t="str">
        <f t="shared" si="7"/>
        <v/>
      </c>
      <c r="AA111" s="21" t="str">
        <f t="shared" si="7"/>
        <v/>
      </c>
    </row>
    <row r="112" spans="22:27">
      <c r="V112" s="816">
        <v>107</v>
      </c>
      <c r="W112" s="21" t="s">
        <v>936</v>
      </c>
      <c r="X112" s="21" t="str">
        <f t="shared" si="7"/>
        <v/>
      </c>
      <c r="Y112" s="21">
        <f t="shared" si="7"/>
        <v>1</v>
      </c>
      <c r="Z112" s="21" t="str">
        <f t="shared" si="7"/>
        <v/>
      </c>
      <c r="AA112" s="21" t="str">
        <f t="shared" si="7"/>
        <v/>
      </c>
    </row>
    <row r="113" spans="22:27">
      <c r="V113" s="816">
        <v>108</v>
      </c>
      <c r="W113" s="21" t="s">
        <v>936</v>
      </c>
      <c r="X113" s="21" t="str">
        <f t="shared" si="7"/>
        <v/>
      </c>
      <c r="Y113" s="21">
        <f t="shared" si="7"/>
        <v>1</v>
      </c>
      <c r="Z113" s="21" t="str">
        <f t="shared" si="7"/>
        <v/>
      </c>
      <c r="AA113" s="21" t="str">
        <f t="shared" si="7"/>
        <v/>
      </c>
    </row>
    <row r="114" spans="22:27">
      <c r="V114" s="816">
        <v>109</v>
      </c>
      <c r="W114" s="21" t="s">
        <v>936</v>
      </c>
      <c r="X114" s="21" t="str">
        <f t="shared" si="7"/>
        <v/>
      </c>
      <c r="Y114" s="21">
        <f t="shared" si="7"/>
        <v>1</v>
      </c>
      <c r="Z114" s="21" t="str">
        <f t="shared" si="7"/>
        <v/>
      </c>
      <c r="AA114" s="21" t="str">
        <f t="shared" si="7"/>
        <v/>
      </c>
    </row>
    <row r="115" spans="22:27">
      <c r="V115" s="816">
        <v>110</v>
      </c>
      <c r="W115" s="21" t="s">
        <v>936</v>
      </c>
      <c r="X115" s="21" t="str">
        <f t="shared" si="7"/>
        <v/>
      </c>
      <c r="Y115" s="21">
        <f t="shared" si="7"/>
        <v>1</v>
      </c>
      <c r="Z115" s="21" t="str">
        <f t="shared" si="7"/>
        <v/>
      </c>
      <c r="AA115" s="21" t="str">
        <f t="shared" si="7"/>
        <v/>
      </c>
    </row>
    <row r="116" spans="22:27">
      <c r="V116" s="816">
        <v>111</v>
      </c>
      <c r="W116" s="21" t="s">
        <v>936</v>
      </c>
      <c r="X116" s="21" t="str">
        <f t="shared" si="7"/>
        <v/>
      </c>
      <c r="Y116" s="21">
        <f t="shared" si="7"/>
        <v>1</v>
      </c>
      <c r="Z116" s="21" t="str">
        <f t="shared" si="7"/>
        <v/>
      </c>
      <c r="AA116" s="21" t="str">
        <f t="shared" si="7"/>
        <v/>
      </c>
    </row>
    <row r="117" spans="22:27">
      <c r="V117" s="816">
        <v>112</v>
      </c>
      <c r="W117" s="21" t="s">
        <v>936</v>
      </c>
      <c r="X117" s="21" t="str">
        <f t="shared" si="7"/>
        <v/>
      </c>
      <c r="Y117" s="21">
        <f t="shared" si="7"/>
        <v>1</v>
      </c>
      <c r="Z117" s="21" t="str">
        <f t="shared" si="7"/>
        <v/>
      </c>
      <c r="AA117" s="21" t="str">
        <f t="shared" si="7"/>
        <v/>
      </c>
    </row>
    <row r="118" spans="22:27">
      <c r="V118" s="816">
        <v>113</v>
      </c>
      <c r="W118" s="21" t="s">
        <v>936</v>
      </c>
      <c r="X118" s="21" t="str">
        <f t="shared" si="7"/>
        <v/>
      </c>
      <c r="Y118" s="21">
        <f t="shared" si="7"/>
        <v>1</v>
      </c>
      <c r="Z118" s="21" t="str">
        <f t="shared" si="7"/>
        <v/>
      </c>
      <c r="AA118" s="21" t="str">
        <f t="shared" si="7"/>
        <v/>
      </c>
    </row>
    <row r="119" spans="22:27">
      <c r="V119" s="816">
        <v>114</v>
      </c>
      <c r="W119" s="21" t="s">
        <v>936</v>
      </c>
      <c r="X119" s="21" t="str">
        <f t="shared" si="7"/>
        <v/>
      </c>
      <c r="Y119" s="21">
        <f t="shared" si="7"/>
        <v>1</v>
      </c>
      <c r="Z119" s="21" t="str">
        <f t="shared" si="7"/>
        <v/>
      </c>
      <c r="AA119" s="21" t="str">
        <f t="shared" si="7"/>
        <v/>
      </c>
    </row>
    <row r="120" spans="22:27">
      <c r="V120" s="816">
        <v>115</v>
      </c>
      <c r="W120" s="21" t="s">
        <v>936</v>
      </c>
      <c r="X120" s="21" t="str">
        <f t="shared" si="7"/>
        <v/>
      </c>
      <c r="Y120" s="21">
        <f t="shared" si="7"/>
        <v>1</v>
      </c>
      <c r="Z120" s="21" t="str">
        <f t="shared" si="7"/>
        <v/>
      </c>
      <c r="AA120" s="21" t="str">
        <f t="shared" si="7"/>
        <v/>
      </c>
    </row>
    <row r="121" spans="22:27">
      <c r="V121" s="816">
        <v>116</v>
      </c>
      <c r="W121" s="21" t="s">
        <v>936</v>
      </c>
      <c r="X121" s="21" t="str">
        <f t="shared" si="7"/>
        <v/>
      </c>
      <c r="Y121" s="21">
        <f t="shared" si="7"/>
        <v>1</v>
      </c>
      <c r="Z121" s="21" t="str">
        <f t="shared" si="7"/>
        <v/>
      </c>
      <c r="AA121" s="21" t="str">
        <f t="shared" si="7"/>
        <v/>
      </c>
    </row>
    <row r="122" spans="22:27">
      <c r="V122" s="816">
        <v>117</v>
      </c>
      <c r="W122" s="21" t="s">
        <v>936</v>
      </c>
      <c r="X122" s="21" t="str">
        <f t="shared" si="7"/>
        <v/>
      </c>
      <c r="Y122" s="21">
        <f t="shared" si="7"/>
        <v>1</v>
      </c>
      <c r="Z122" s="21" t="str">
        <f t="shared" si="7"/>
        <v/>
      </c>
      <c r="AA122" s="21" t="str">
        <f t="shared" si="7"/>
        <v/>
      </c>
    </row>
    <row r="123" spans="22:27">
      <c r="V123" s="816">
        <v>118</v>
      </c>
      <c r="W123" s="21" t="s">
        <v>936</v>
      </c>
      <c r="X123" s="21" t="str">
        <f t="shared" si="7"/>
        <v/>
      </c>
      <c r="Y123" s="21">
        <f t="shared" si="7"/>
        <v>1</v>
      </c>
      <c r="Z123" s="21" t="str">
        <f t="shared" si="7"/>
        <v/>
      </c>
      <c r="AA123" s="21" t="str">
        <f t="shared" si="7"/>
        <v/>
      </c>
    </row>
    <row r="124" spans="22:27">
      <c r="V124" s="816">
        <v>119</v>
      </c>
      <c r="W124" s="21" t="s">
        <v>936</v>
      </c>
      <c r="X124" s="21" t="str">
        <f t="shared" si="7"/>
        <v/>
      </c>
      <c r="Y124" s="21">
        <f t="shared" si="7"/>
        <v>1</v>
      </c>
      <c r="Z124" s="21" t="str">
        <f t="shared" si="7"/>
        <v/>
      </c>
      <c r="AA124" s="21" t="str">
        <f t="shared" si="7"/>
        <v/>
      </c>
    </row>
    <row r="125" spans="22:27">
      <c r="V125" s="816">
        <v>120</v>
      </c>
      <c r="W125" s="21" t="s">
        <v>936</v>
      </c>
      <c r="X125" s="21" t="str">
        <f t="shared" si="7"/>
        <v/>
      </c>
      <c r="Y125" s="21">
        <f t="shared" si="7"/>
        <v>1</v>
      </c>
      <c r="Z125" s="21" t="str">
        <f t="shared" si="7"/>
        <v/>
      </c>
      <c r="AA125" s="21" t="str">
        <f t="shared" si="7"/>
        <v/>
      </c>
    </row>
    <row r="126" spans="22:27">
      <c r="V126" s="816">
        <v>121</v>
      </c>
      <c r="W126" s="21" t="s">
        <v>936</v>
      </c>
      <c r="X126" s="21" t="str">
        <f t="shared" si="7"/>
        <v/>
      </c>
      <c r="Y126" s="21">
        <f t="shared" si="7"/>
        <v>1</v>
      </c>
      <c r="Z126" s="21" t="str">
        <f t="shared" si="7"/>
        <v/>
      </c>
      <c r="AA126" s="21" t="str">
        <f t="shared" si="7"/>
        <v/>
      </c>
    </row>
    <row r="127" spans="22:27">
      <c r="V127" s="816">
        <v>122</v>
      </c>
      <c r="W127" s="21" t="s">
        <v>936</v>
      </c>
      <c r="X127" s="21" t="str">
        <f t="shared" si="7"/>
        <v/>
      </c>
      <c r="Y127" s="21">
        <f t="shared" si="7"/>
        <v>1</v>
      </c>
      <c r="Z127" s="21" t="str">
        <f t="shared" si="7"/>
        <v/>
      </c>
      <c r="AA127" s="21" t="str">
        <f t="shared" si="7"/>
        <v/>
      </c>
    </row>
    <row r="128" spans="22:27">
      <c r="V128" s="816">
        <v>123</v>
      </c>
      <c r="W128" s="21" t="s">
        <v>936</v>
      </c>
      <c r="X128" s="21" t="str">
        <f t="shared" si="7"/>
        <v/>
      </c>
      <c r="Y128" s="21">
        <f t="shared" si="7"/>
        <v>1</v>
      </c>
      <c r="Z128" s="21" t="str">
        <f t="shared" si="7"/>
        <v/>
      </c>
      <c r="AA128" s="21" t="str">
        <f t="shared" si="7"/>
        <v/>
      </c>
    </row>
    <row r="129" spans="22:27">
      <c r="V129" s="816">
        <v>124</v>
      </c>
      <c r="W129" s="21" t="s">
        <v>936</v>
      </c>
      <c r="X129" s="21" t="str">
        <f t="shared" si="7"/>
        <v/>
      </c>
      <c r="Y129" s="21">
        <f t="shared" si="7"/>
        <v>1</v>
      </c>
      <c r="Z129" s="21" t="str">
        <f t="shared" si="7"/>
        <v/>
      </c>
      <c r="AA129" s="21" t="str">
        <f t="shared" si="7"/>
        <v/>
      </c>
    </row>
    <row r="130" spans="22:27">
      <c r="V130" s="816">
        <v>125</v>
      </c>
      <c r="W130" s="21" t="s">
        <v>936</v>
      </c>
      <c r="X130" s="21" t="str">
        <f t="shared" si="7"/>
        <v/>
      </c>
      <c r="Y130" s="21">
        <f t="shared" si="7"/>
        <v>1</v>
      </c>
      <c r="Z130" s="21" t="str">
        <f t="shared" si="7"/>
        <v/>
      </c>
      <c r="AA130" s="21" t="str">
        <f t="shared" si="7"/>
        <v/>
      </c>
    </row>
    <row r="131" spans="22:27">
      <c r="V131" s="816">
        <v>126</v>
      </c>
      <c r="W131" s="21" t="s">
        <v>936</v>
      </c>
      <c r="X131" s="21" t="str">
        <f t="shared" si="7"/>
        <v/>
      </c>
      <c r="Y131" s="21">
        <f t="shared" si="7"/>
        <v>1</v>
      </c>
      <c r="Z131" s="21" t="str">
        <f t="shared" si="7"/>
        <v/>
      </c>
      <c r="AA131" s="21" t="str">
        <f t="shared" si="7"/>
        <v/>
      </c>
    </row>
    <row r="132" spans="22:27">
      <c r="V132" s="816">
        <v>127</v>
      </c>
      <c r="W132" s="21" t="s">
        <v>936</v>
      </c>
      <c r="X132" s="21" t="str">
        <f t="shared" si="7"/>
        <v/>
      </c>
      <c r="Y132" s="21">
        <f t="shared" si="7"/>
        <v>1</v>
      </c>
      <c r="Z132" s="21" t="str">
        <f t="shared" si="7"/>
        <v/>
      </c>
      <c r="AA132" s="21" t="str">
        <f t="shared" si="7"/>
        <v/>
      </c>
    </row>
    <row r="133" spans="22:27">
      <c r="V133" s="816">
        <v>128</v>
      </c>
      <c r="W133" s="21" t="s">
        <v>936</v>
      </c>
      <c r="X133" s="21" t="str">
        <f t="shared" si="7"/>
        <v/>
      </c>
      <c r="Y133" s="21">
        <f t="shared" si="7"/>
        <v>1</v>
      </c>
      <c r="Z133" s="21" t="str">
        <f t="shared" si="7"/>
        <v/>
      </c>
      <c r="AA133" s="21" t="str">
        <f t="shared" si="7"/>
        <v/>
      </c>
    </row>
    <row r="134" spans="22:27">
      <c r="V134" s="816">
        <v>129</v>
      </c>
      <c r="W134" s="21" t="s">
        <v>936</v>
      </c>
      <c r="X134" s="21" t="str">
        <f t="shared" si="7"/>
        <v/>
      </c>
      <c r="Y134" s="21">
        <f t="shared" si="7"/>
        <v>1</v>
      </c>
      <c r="Z134" s="21" t="str">
        <f t="shared" si="7"/>
        <v/>
      </c>
      <c r="AA134" s="21" t="str">
        <f t="shared" si="7"/>
        <v/>
      </c>
    </row>
    <row r="135" spans="22:27">
      <c r="V135" s="816">
        <v>130</v>
      </c>
      <c r="W135" s="21" t="s">
        <v>936</v>
      </c>
      <c r="X135" s="21" t="str">
        <f t="shared" si="7"/>
        <v/>
      </c>
      <c r="Y135" s="21">
        <f t="shared" si="7"/>
        <v>1</v>
      </c>
      <c r="Z135" s="21" t="str">
        <f t="shared" si="7"/>
        <v/>
      </c>
      <c r="AA135" s="21" t="str">
        <f t="shared" ref="Y135:AA198" si="9">IF($W135=AA$4,1,"")</f>
        <v/>
      </c>
    </row>
    <row r="136" spans="22:27">
      <c r="V136" s="816">
        <v>131</v>
      </c>
      <c r="W136" s="21" t="s">
        <v>936</v>
      </c>
      <c r="X136" s="21" t="str">
        <f t="shared" ref="X136:X167" si="10">IF($W136=X$4,1,"")</f>
        <v/>
      </c>
      <c r="Y136" s="21">
        <f t="shared" si="9"/>
        <v>1</v>
      </c>
      <c r="Z136" s="21" t="str">
        <f t="shared" si="9"/>
        <v/>
      </c>
      <c r="AA136" s="21" t="str">
        <f t="shared" si="9"/>
        <v/>
      </c>
    </row>
    <row r="137" spans="22:27">
      <c r="V137" s="816">
        <v>132</v>
      </c>
      <c r="W137" s="21" t="s">
        <v>936</v>
      </c>
      <c r="X137" s="21" t="str">
        <f t="shared" si="10"/>
        <v/>
      </c>
      <c r="Y137" s="21">
        <f t="shared" si="9"/>
        <v>1</v>
      </c>
      <c r="Z137" s="21" t="str">
        <f t="shared" si="9"/>
        <v/>
      </c>
      <c r="AA137" s="21" t="str">
        <f t="shared" si="9"/>
        <v/>
      </c>
    </row>
    <row r="138" spans="22:27">
      <c r="V138" s="816">
        <v>133</v>
      </c>
      <c r="W138" s="21" t="s">
        <v>936</v>
      </c>
      <c r="X138" s="21" t="str">
        <f t="shared" si="10"/>
        <v/>
      </c>
      <c r="Y138" s="21">
        <f t="shared" si="9"/>
        <v>1</v>
      </c>
      <c r="Z138" s="21" t="str">
        <f t="shared" si="9"/>
        <v/>
      </c>
      <c r="AA138" s="21" t="str">
        <f t="shared" si="9"/>
        <v/>
      </c>
    </row>
    <row r="139" spans="22:27">
      <c r="V139" s="816">
        <v>134</v>
      </c>
      <c r="W139" s="21" t="s">
        <v>936</v>
      </c>
      <c r="X139" s="21" t="str">
        <f t="shared" si="10"/>
        <v/>
      </c>
      <c r="Y139" s="21">
        <f t="shared" si="9"/>
        <v>1</v>
      </c>
      <c r="Z139" s="21" t="str">
        <f t="shared" si="9"/>
        <v/>
      </c>
      <c r="AA139" s="21" t="str">
        <f t="shared" si="9"/>
        <v/>
      </c>
    </row>
    <row r="140" spans="22:27">
      <c r="V140" s="816">
        <v>135</v>
      </c>
      <c r="W140" s="21" t="s">
        <v>936</v>
      </c>
      <c r="X140" s="21" t="str">
        <f t="shared" si="10"/>
        <v/>
      </c>
      <c r="Y140" s="21">
        <f t="shared" si="9"/>
        <v>1</v>
      </c>
      <c r="Z140" s="21" t="str">
        <f t="shared" si="9"/>
        <v/>
      </c>
      <c r="AA140" s="21" t="str">
        <f t="shared" si="9"/>
        <v/>
      </c>
    </row>
    <row r="141" spans="22:27">
      <c r="V141" s="816">
        <v>136</v>
      </c>
      <c r="W141" s="21" t="s">
        <v>936</v>
      </c>
      <c r="X141" s="21" t="str">
        <f t="shared" si="10"/>
        <v/>
      </c>
      <c r="Y141" s="21">
        <f t="shared" si="9"/>
        <v>1</v>
      </c>
      <c r="Z141" s="21" t="str">
        <f t="shared" si="9"/>
        <v/>
      </c>
      <c r="AA141" s="21" t="str">
        <f t="shared" si="9"/>
        <v/>
      </c>
    </row>
    <row r="142" spans="22:27">
      <c r="V142" s="816">
        <v>137</v>
      </c>
      <c r="W142" s="21" t="s">
        <v>936</v>
      </c>
      <c r="X142" s="21" t="str">
        <f t="shared" si="10"/>
        <v/>
      </c>
      <c r="Y142" s="21">
        <f t="shared" si="9"/>
        <v>1</v>
      </c>
      <c r="Z142" s="21" t="str">
        <f t="shared" si="9"/>
        <v/>
      </c>
      <c r="AA142" s="21" t="str">
        <f t="shared" si="9"/>
        <v/>
      </c>
    </row>
    <row r="143" spans="22:27">
      <c r="V143" s="816">
        <v>138</v>
      </c>
      <c r="W143" s="21" t="s">
        <v>936</v>
      </c>
      <c r="X143" s="21" t="str">
        <f t="shared" si="10"/>
        <v/>
      </c>
      <c r="Y143" s="21">
        <f t="shared" si="9"/>
        <v>1</v>
      </c>
      <c r="Z143" s="21" t="str">
        <f t="shared" si="9"/>
        <v/>
      </c>
      <c r="AA143" s="21" t="str">
        <f t="shared" si="9"/>
        <v/>
      </c>
    </row>
    <row r="144" spans="22:27">
      <c r="V144" s="816">
        <v>139</v>
      </c>
      <c r="W144" s="21" t="s">
        <v>936</v>
      </c>
      <c r="X144" s="21" t="str">
        <f t="shared" si="10"/>
        <v/>
      </c>
      <c r="Y144" s="21">
        <f t="shared" si="9"/>
        <v>1</v>
      </c>
      <c r="Z144" s="21" t="str">
        <f t="shared" si="9"/>
        <v/>
      </c>
      <c r="AA144" s="21" t="str">
        <f t="shared" si="9"/>
        <v/>
      </c>
    </row>
    <row r="145" spans="22:27">
      <c r="V145" s="816">
        <v>140</v>
      </c>
      <c r="W145" s="21" t="s">
        <v>936</v>
      </c>
      <c r="X145" s="21" t="str">
        <f t="shared" si="10"/>
        <v/>
      </c>
      <c r="Y145" s="21">
        <f t="shared" si="9"/>
        <v>1</v>
      </c>
      <c r="Z145" s="21" t="str">
        <f t="shared" si="9"/>
        <v/>
      </c>
      <c r="AA145" s="21" t="str">
        <f t="shared" si="9"/>
        <v/>
      </c>
    </row>
    <row r="146" spans="22:27">
      <c r="V146" s="816">
        <v>141</v>
      </c>
      <c r="W146" s="21" t="s">
        <v>936</v>
      </c>
      <c r="X146" s="21" t="str">
        <f t="shared" si="10"/>
        <v/>
      </c>
      <c r="Y146" s="21">
        <f t="shared" si="9"/>
        <v>1</v>
      </c>
      <c r="Z146" s="21" t="str">
        <f t="shared" si="9"/>
        <v/>
      </c>
      <c r="AA146" s="21" t="str">
        <f t="shared" si="9"/>
        <v/>
      </c>
    </row>
    <row r="147" spans="22:27">
      <c r="V147" s="816">
        <v>142</v>
      </c>
      <c r="W147" s="21" t="s">
        <v>935</v>
      </c>
      <c r="X147" s="21">
        <f t="shared" si="10"/>
        <v>1</v>
      </c>
      <c r="Y147" s="21" t="str">
        <f t="shared" si="9"/>
        <v/>
      </c>
      <c r="Z147" s="21" t="str">
        <f t="shared" si="9"/>
        <v/>
      </c>
      <c r="AA147" s="21" t="str">
        <f t="shared" si="9"/>
        <v/>
      </c>
    </row>
    <row r="148" spans="22:27">
      <c r="V148" s="816">
        <v>143</v>
      </c>
      <c r="W148" s="21" t="s">
        <v>935</v>
      </c>
      <c r="X148" s="21">
        <f t="shared" si="10"/>
        <v>1</v>
      </c>
      <c r="Y148" s="21" t="str">
        <f t="shared" si="9"/>
        <v/>
      </c>
      <c r="Z148" s="21" t="str">
        <f t="shared" si="9"/>
        <v/>
      </c>
      <c r="AA148" s="21" t="str">
        <f t="shared" si="9"/>
        <v/>
      </c>
    </row>
    <row r="149" spans="22:27">
      <c r="V149" s="816"/>
      <c r="W149" s="21"/>
      <c r="X149" s="21" t="str">
        <f t="shared" si="10"/>
        <v/>
      </c>
      <c r="Y149" s="21" t="str">
        <f t="shared" si="9"/>
        <v/>
      </c>
      <c r="Z149" s="21" t="str">
        <f t="shared" si="9"/>
        <v/>
      </c>
      <c r="AA149" s="21" t="str">
        <f t="shared" si="9"/>
        <v/>
      </c>
    </row>
    <row r="150" spans="22:27">
      <c r="V150" s="816"/>
      <c r="W150" s="21"/>
      <c r="X150" s="21" t="str">
        <f t="shared" si="10"/>
        <v/>
      </c>
      <c r="Y150" s="21" t="str">
        <f t="shared" si="9"/>
        <v/>
      </c>
      <c r="Z150" s="21" t="str">
        <f t="shared" si="9"/>
        <v/>
      </c>
      <c r="AA150" s="21" t="str">
        <f t="shared" si="9"/>
        <v/>
      </c>
    </row>
    <row r="151" spans="22:27">
      <c r="V151" s="816"/>
      <c r="W151" s="21"/>
      <c r="X151" s="21" t="str">
        <f t="shared" si="10"/>
        <v/>
      </c>
      <c r="Y151" s="21" t="str">
        <f t="shared" si="9"/>
        <v/>
      </c>
      <c r="Z151" s="21" t="str">
        <f t="shared" si="9"/>
        <v/>
      </c>
      <c r="AA151" s="21" t="str">
        <f t="shared" si="9"/>
        <v/>
      </c>
    </row>
    <row r="152" spans="22:27">
      <c r="V152" s="816"/>
      <c r="W152" s="21"/>
      <c r="X152" s="21" t="str">
        <f t="shared" si="10"/>
        <v/>
      </c>
      <c r="Y152" s="21" t="str">
        <f t="shared" si="9"/>
        <v/>
      </c>
      <c r="Z152" s="21" t="str">
        <f t="shared" si="9"/>
        <v/>
      </c>
      <c r="AA152" s="21" t="str">
        <f t="shared" si="9"/>
        <v/>
      </c>
    </row>
    <row r="153" spans="22:27">
      <c r="V153" s="816"/>
      <c r="W153" s="21"/>
      <c r="X153" s="21" t="str">
        <f t="shared" si="10"/>
        <v/>
      </c>
      <c r="Y153" s="21" t="str">
        <f t="shared" si="9"/>
        <v/>
      </c>
      <c r="Z153" s="21" t="str">
        <f t="shared" si="9"/>
        <v/>
      </c>
      <c r="AA153" s="21" t="str">
        <f t="shared" si="9"/>
        <v/>
      </c>
    </row>
    <row r="154" spans="22:27">
      <c r="V154" s="816"/>
      <c r="W154" s="21"/>
      <c r="X154" s="21" t="str">
        <f t="shared" si="10"/>
        <v/>
      </c>
      <c r="Y154" s="21" t="str">
        <f t="shared" si="9"/>
        <v/>
      </c>
      <c r="Z154" s="21" t="str">
        <f t="shared" si="9"/>
        <v/>
      </c>
      <c r="AA154" s="21" t="str">
        <f t="shared" si="9"/>
        <v/>
      </c>
    </row>
    <row r="155" spans="22:27">
      <c r="V155" s="816"/>
      <c r="W155" s="21"/>
      <c r="X155" s="21" t="str">
        <f t="shared" si="10"/>
        <v/>
      </c>
      <c r="Y155" s="21" t="str">
        <f t="shared" si="9"/>
        <v/>
      </c>
      <c r="Z155" s="21" t="str">
        <f t="shared" si="9"/>
        <v/>
      </c>
      <c r="AA155" s="21" t="str">
        <f t="shared" si="9"/>
        <v/>
      </c>
    </row>
    <row r="156" spans="22:27">
      <c r="V156" s="816"/>
      <c r="W156" s="21"/>
      <c r="X156" s="21" t="str">
        <f t="shared" si="10"/>
        <v/>
      </c>
      <c r="Y156" s="21" t="str">
        <f t="shared" si="9"/>
        <v/>
      </c>
      <c r="Z156" s="21" t="str">
        <f t="shared" si="9"/>
        <v/>
      </c>
      <c r="AA156" s="21" t="str">
        <f t="shared" si="9"/>
        <v/>
      </c>
    </row>
    <row r="157" spans="22:27">
      <c r="V157" s="816"/>
      <c r="W157" s="21"/>
      <c r="X157" s="21" t="str">
        <f t="shared" si="10"/>
        <v/>
      </c>
      <c r="Y157" s="21" t="str">
        <f t="shared" si="9"/>
        <v/>
      </c>
      <c r="Z157" s="21" t="str">
        <f t="shared" si="9"/>
        <v/>
      </c>
      <c r="AA157" s="21" t="str">
        <f t="shared" si="9"/>
        <v/>
      </c>
    </row>
    <row r="158" spans="22:27">
      <c r="V158" s="816"/>
      <c r="W158" s="223"/>
      <c r="X158" s="21" t="str">
        <f t="shared" si="10"/>
        <v/>
      </c>
      <c r="Y158" s="21" t="str">
        <f t="shared" si="9"/>
        <v/>
      </c>
      <c r="Z158" s="21" t="str">
        <f t="shared" si="9"/>
        <v/>
      </c>
      <c r="AA158" s="21" t="str">
        <f t="shared" si="9"/>
        <v/>
      </c>
    </row>
    <row r="159" spans="22:27">
      <c r="V159" s="816" t="s">
        <v>939</v>
      </c>
      <c r="W159" s="223"/>
      <c r="X159" s="21" t="str">
        <f t="shared" si="10"/>
        <v/>
      </c>
      <c r="Y159" s="21" t="str">
        <f t="shared" si="9"/>
        <v/>
      </c>
      <c r="Z159" s="21" t="str">
        <f t="shared" si="9"/>
        <v/>
      </c>
      <c r="AA159" s="21" t="str">
        <f t="shared" si="9"/>
        <v/>
      </c>
    </row>
    <row r="160" spans="22:27">
      <c r="V160" s="816">
        <v>1</v>
      </c>
      <c r="W160" s="223" t="s">
        <v>935</v>
      </c>
      <c r="X160" s="21">
        <f t="shared" si="10"/>
        <v>1</v>
      </c>
      <c r="Y160" s="21" t="str">
        <f t="shared" si="9"/>
        <v/>
      </c>
      <c r="Z160" s="21" t="str">
        <f t="shared" si="9"/>
        <v/>
      </c>
      <c r="AA160" s="21" t="str">
        <f t="shared" si="9"/>
        <v/>
      </c>
    </row>
    <row r="161" spans="22:27">
      <c r="V161" s="816">
        <v>2</v>
      </c>
      <c r="W161" s="223" t="s">
        <v>935</v>
      </c>
      <c r="X161" s="21">
        <f t="shared" si="10"/>
        <v>1</v>
      </c>
      <c r="Y161" s="21" t="str">
        <f t="shared" si="9"/>
        <v/>
      </c>
      <c r="Z161" s="21" t="str">
        <f t="shared" si="9"/>
        <v/>
      </c>
      <c r="AA161" s="21" t="str">
        <f t="shared" si="9"/>
        <v/>
      </c>
    </row>
    <row r="162" spans="22:27">
      <c r="V162" s="816">
        <v>3</v>
      </c>
      <c r="W162" s="223" t="s">
        <v>935</v>
      </c>
      <c r="X162" s="21">
        <f t="shared" si="10"/>
        <v>1</v>
      </c>
      <c r="Y162" s="21" t="str">
        <f t="shared" si="9"/>
        <v/>
      </c>
      <c r="Z162" s="21" t="str">
        <f t="shared" si="9"/>
        <v/>
      </c>
      <c r="AA162" s="21" t="str">
        <f t="shared" si="9"/>
        <v/>
      </c>
    </row>
    <row r="163" spans="22:27">
      <c r="V163" s="816">
        <v>4</v>
      </c>
      <c r="W163" s="223" t="s">
        <v>935</v>
      </c>
      <c r="X163" s="21">
        <f t="shared" si="10"/>
        <v>1</v>
      </c>
      <c r="Y163" s="21" t="str">
        <f t="shared" si="9"/>
        <v/>
      </c>
      <c r="Z163" s="21" t="str">
        <f t="shared" si="9"/>
        <v/>
      </c>
      <c r="AA163" s="21" t="str">
        <f t="shared" si="9"/>
        <v/>
      </c>
    </row>
    <row r="164" spans="22:27">
      <c r="V164" s="816">
        <v>5</v>
      </c>
      <c r="W164" s="223" t="s">
        <v>935</v>
      </c>
      <c r="X164" s="21">
        <f t="shared" si="10"/>
        <v>1</v>
      </c>
      <c r="Y164" s="21" t="str">
        <f t="shared" si="9"/>
        <v/>
      </c>
      <c r="Z164" s="21" t="str">
        <f t="shared" si="9"/>
        <v/>
      </c>
      <c r="AA164" s="21" t="str">
        <f t="shared" si="9"/>
        <v/>
      </c>
    </row>
    <row r="165" spans="22:27">
      <c r="V165" s="816">
        <v>6</v>
      </c>
      <c r="W165" s="223" t="s">
        <v>935</v>
      </c>
      <c r="X165" s="21">
        <f t="shared" si="10"/>
        <v>1</v>
      </c>
      <c r="Y165" s="21" t="str">
        <f t="shared" si="9"/>
        <v/>
      </c>
      <c r="Z165" s="21" t="str">
        <f t="shared" si="9"/>
        <v/>
      </c>
      <c r="AA165" s="21" t="str">
        <f t="shared" si="9"/>
        <v/>
      </c>
    </row>
    <row r="166" spans="22:27">
      <c r="V166" s="816">
        <v>7</v>
      </c>
      <c r="W166" s="223" t="s">
        <v>935</v>
      </c>
      <c r="X166" s="21">
        <f t="shared" si="10"/>
        <v>1</v>
      </c>
      <c r="Y166" s="21" t="str">
        <f t="shared" si="9"/>
        <v/>
      </c>
      <c r="Z166" s="21" t="str">
        <f t="shared" si="9"/>
        <v/>
      </c>
      <c r="AA166" s="21" t="str">
        <f t="shared" si="9"/>
        <v/>
      </c>
    </row>
    <row r="167" spans="22:27">
      <c r="V167" s="816">
        <v>8</v>
      </c>
      <c r="W167" s="223" t="s">
        <v>935</v>
      </c>
      <c r="X167" s="21">
        <f t="shared" si="10"/>
        <v>1</v>
      </c>
      <c r="Y167" s="21" t="str">
        <f t="shared" si="9"/>
        <v/>
      </c>
      <c r="Z167" s="21" t="str">
        <f t="shared" si="9"/>
        <v/>
      </c>
      <c r="AA167" s="21" t="str">
        <f t="shared" si="9"/>
        <v/>
      </c>
    </row>
    <row r="168" spans="22:27">
      <c r="V168" s="816">
        <v>9</v>
      </c>
      <c r="W168" s="223" t="s">
        <v>935</v>
      </c>
      <c r="X168" s="21">
        <f t="shared" ref="X168:X199" si="11">IF($W168=X$4,1,"")</f>
        <v>1</v>
      </c>
      <c r="Y168" s="21" t="str">
        <f t="shared" si="9"/>
        <v/>
      </c>
      <c r="Z168" s="21" t="str">
        <f t="shared" si="9"/>
        <v/>
      </c>
      <c r="AA168" s="21" t="str">
        <f t="shared" si="9"/>
        <v/>
      </c>
    </row>
    <row r="169" spans="22:27">
      <c r="V169" s="816">
        <v>10</v>
      </c>
      <c r="W169" s="223" t="s">
        <v>935</v>
      </c>
      <c r="X169" s="21">
        <f t="shared" si="11"/>
        <v>1</v>
      </c>
      <c r="Y169" s="21" t="str">
        <f t="shared" si="9"/>
        <v/>
      </c>
      <c r="Z169" s="21" t="str">
        <f t="shared" si="9"/>
        <v/>
      </c>
      <c r="AA169" s="21" t="str">
        <f t="shared" si="9"/>
        <v/>
      </c>
    </row>
    <row r="170" spans="22:27">
      <c r="V170" s="816">
        <v>11</v>
      </c>
      <c r="W170" s="223" t="s">
        <v>935</v>
      </c>
      <c r="X170" s="21">
        <f t="shared" si="11"/>
        <v>1</v>
      </c>
      <c r="Y170" s="21" t="str">
        <f t="shared" si="9"/>
        <v/>
      </c>
      <c r="Z170" s="21" t="str">
        <f t="shared" si="9"/>
        <v/>
      </c>
      <c r="AA170" s="21" t="str">
        <f t="shared" si="9"/>
        <v/>
      </c>
    </row>
    <row r="171" spans="22:27">
      <c r="V171" s="816">
        <v>12</v>
      </c>
      <c r="W171" s="223" t="s">
        <v>935</v>
      </c>
      <c r="X171" s="21">
        <f t="shared" si="11"/>
        <v>1</v>
      </c>
      <c r="Y171" s="21" t="str">
        <f t="shared" si="9"/>
        <v/>
      </c>
      <c r="Z171" s="21" t="str">
        <f t="shared" si="9"/>
        <v/>
      </c>
      <c r="AA171" s="21" t="str">
        <f t="shared" si="9"/>
        <v/>
      </c>
    </row>
    <row r="172" spans="22:27">
      <c r="V172" s="816">
        <v>13</v>
      </c>
      <c r="W172" s="223" t="s">
        <v>935</v>
      </c>
      <c r="X172" s="21">
        <f t="shared" si="11"/>
        <v>1</v>
      </c>
      <c r="Y172" s="21" t="str">
        <f t="shared" si="9"/>
        <v/>
      </c>
      <c r="Z172" s="21" t="str">
        <f t="shared" si="9"/>
        <v/>
      </c>
      <c r="AA172" s="21" t="str">
        <f t="shared" si="9"/>
        <v/>
      </c>
    </row>
    <row r="173" spans="22:27">
      <c r="V173" s="816">
        <v>14</v>
      </c>
      <c r="W173" s="223" t="s">
        <v>935</v>
      </c>
      <c r="X173" s="21">
        <f t="shared" si="11"/>
        <v>1</v>
      </c>
      <c r="Y173" s="21" t="str">
        <f t="shared" si="9"/>
        <v/>
      </c>
      <c r="Z173" s="21" t="str">
        <f t="shared" si="9"/>
        <v/>
      </c>
      <c r="AA173" s="21" t="str">
        <f t="shared" si="9"/>
        <v/>
      </c>
    </row>
    <row r="174" spans="22:27">
      <c r="V174" s="816">
        <v>15</v>
      </c>
      <c r="W174" s="223" t="s">
        <v>935</v>
      </c>
      <c r="X174" s="21">
        <f t="shared" si="11"/>
        <v>1</v>
      </c>
      <c r="Y174" s="21" t="str">
        <f t="shared" si="9"/>
        <v/>
      </c>
      <c r="Z174" s="21" t="str">
        <f t="shared" si="9"/>
        <v/>
      </c>
      <c r="AA174" s="21" t="str">
        <f t="shared" si="9"/>
        <v/>
      </c>
    </row>
    <row r="175" spans="22:27">
      <c r="V175" s="816">
        <v>16</v>
      </c>
      <c r="W175" s="223" t="s">
        <v>935</v>
      </c>
      <c r="X175" s="21">
        <f t="shared" si="11"/>
        <v>1</v>
      </c>
      <c r="Y175" s="21" t="str">
        <f t="shared" si="9"/>
        <v/>
      </c>
      <c r="Z175" s="21" t="str">
        <f t="shared" si="9"/>
        <v/>
      </c>
      <c r="AA175" s="21" t="str">
        <f t="shared" si="9"/>
        <v/>
      </c>
    </row>
    <row r="176" spans="22:27">
      <c r="V176" s="816">
        <v>17</v>
      </c>
      <c r="W176" s="223" t="s">
        <v>935</v>
      </c>
      <c r="X176" s="21">
        <f t="shared" si="11"/>
        <v>1</v>
      </c>
      <c r="Y176" s="21" t="str">
        <f t="shared" si="9"/>
        <v/>
      </c>
      <c r="Z176" s="21" t="str">
        <f t="shared" si="9"/>
        <v/>
      </c>
      <c r="AA176" s="21" t="str">
        <f t="shared" si="9"/>
        <v/>
      </c>
    </row>
    <row r="177" spans="22:27">
      <c r="V177" s="816">
        <v>18</v>
      </c>
      <c r="W177" s="223" t="s">
        <v>937</v>
      </c>
      <c r="X177" s="21" t="str">
        <f t="shared" si="11"/>
        <v/>
      </c>
      <c r="Y177" s="21" t="str">
        <f t="shared" si="9"/>
        <v/>
      </c>
      <c r="Z177" s="21">
        <f t="shared" si="9"/>
        <v>1</v>
      </c>
      <c r="AA177" s="21" t="str">
        <f t="shared" si="9"/>
        <v/>
      </c>
    </row>
    <row r="178" spans="22:27">
      <c r="V178" s="816">
        <v>19</v>
      </c>
      <c r="W178" s="223" t="s">
        <v>937</v>
      </c>
      <c r="X178" s="21" t="str">
        <f t="shared" si="11"/>
        <v/>
      </c>
      <c r="Y178" s="21" t="str">
        <f t="shared" si="9"/>
        <v/>
      </c>
      <c r="Z178" s="21">
        <f t="shared" si="9"/>
        <v>1</v>
      </c>
      <c r="AA178" s="21" t="str">
        <f t="shared" si="9"/>
        <v/>
      </c>
    </row>
    <row r="179" spans="22:27">
      <c r="V179" s="816">
        <v>20</v>
      </c>
      <c r="W179" s="223" t="s">
        <v>937</v>
      </c>
      <c r="X179" s="21" t="str">
        <f t="shared" si="11"/>
        <v/>
      </c>
      <c r="Y179" s="21" t="str">
        <f t="shared" si="9"/>
        <v/>
      </c>
      <c r="Z179" s="21">
        <f t="shared" si="9"/>
        <v>1</v>
      </c>
      <c r="AA179" s="21" t="str">
        <f t="shared" si="9"/>
        <v/>
      </c>
    </row>
    <row r="180" spans="22:27">
      <c r="V180" s="816">
        <v>21</v>
      </c>
      <c r="W180" s="223" t="s">
        <v>937</v>
      </c>
      <c r="X180" s="21" t="str">
        <f t="shared" si="11"/>
        <v/>
      </c>
      <c r="Y180" s="21" t="str">
        <f t="shared" si="9"/>
        <v/>
      </c>
      <c r="Z180" s="21">
        <f t="shared" si="9"/>
        <v>1</v>
      </c>
      <c r="AA180" s="21" t="str">
        <f t="shared" si="9"/>
        <v/>
      </c>
    </row>
    <row r="181" spans="22:27">
      <c r="V181" s="816">
        <v>22</v>
      </c>
      <c r="W181" s="223" t="s">
        <v>937</v>
      </c>
      <c r="X181" s="21" t="str">
        <f t="shared" si="11"/>
        <v/>
      </c>
      <c r="Y181" s="21" t="str">
        <f t="shared" si="9"/>
        <v/>
      </c>
      <c r="Z181" s="21">
        <f t="shared" si="9"/>
        <v>1</v>
      </c>
      <c r="AA181" s="21" t="str">
        <f t="shared" si="9"/>
        <v/>
      </c>
    </row>
    <row r="182" spans="22:27">
      <c r="V182" s="816">
        <v>23</v>
      </c>
      <c r="W182" s="223" t="s">
        <v>935</v>
      </c>
      <c r="X182" s="21">
        <f t="shared" si="11"/>
        <v>1</v>
      </c>
      <c r="Y182" s="21" t="str">
        <f t="shared" si="9"/>
        <v/>
      </c>
      <c r="Z182" s="21" t="str">
        <f t="shared" si="9"/>
        <v/>
      </c>
      <c r="AA182" s="21" t="str">
        <f t="shared" si="9"/>
        <v/>
      </c>
    </row>
    <row r="183" spans="22:27">
      <c r="V183" s="816">
        <v>24</v>
      </c>
      <c r="W183" s="223" t="s">
        <v>935</v>
      </c>
      <c r="X183" s="21">
        <f t="shared" si="11"/>
        <v>1</v>
      </c>
      <c r="Y183" s="21" t="str">
        <f t="shared" si="9"/>
        <v/>
      </c>
      <c r="Z183" s="21" t="str">
        <f t="shared" si="9"/>
        <v/>
      </c>
      <c r="AA183" s="21" t="str">
        <f t="shared" si="9"/>
        <v/>
      </c>
    </row>
    <row r="184" spans="22:27">
      <c r="V184" s="816">
        <v>25</v>
      </c>
      <c r="W184" s="223" t="s">
        <v>935</v>
      </c>
      <c r="X184" s="21">
        <f t="shared" si="11"/>
        <v>1</v>
      </c>
      <c r="Y184" s="21" t="str">
        <f t="shared" si="9"/>
        <v/>
      </c>
      <c r="Z184" s="21" t="str">
        <f t="shared" si="9"/>
        <v/>
      </c>
      <c r="AA184" s="21" t="str">
        <f t="shared" si="9"/>
        <v/>
      </c>
    </row>
    <row r="185" spans="22:27">
      <c r="V185" s="816">
        <v>26</v>
      </c>
      <c r="W185" s="223" t="s">
        <v>935</v>
      </c>
      <c r="X185" s="21">
        <f t="shared" si="11"/>
        <v>1</v>
      </c>
      <c r="Y185" s="21" t="str">
        <f t="shared" si="9"/>
        <v/>
      </c>
      <c r="Z185" s="21" t="str">
        <f t="shared" si="9"/>
        <v/>
      </c>
      <c r="AA185" s="21" t="str">
        <f t="shared" si="9"/>
        <v/>
      </c>
    </row>
    <row r="186" spans="22:27">
      <c r="V186" s="816">
        <v>27</v>
      </c>
      <c r="W186" s="223" t="s">
        <v>935</v>
      </c>
      <c r="X186" s="21">
        <f t="shared" si="11"/>
        <v>1</v>
      </c>
      <c r="Y186" s="21" t="str">
        <f t="shared" si="9"/>
        <v/>
      </c>
      <c r="Z186" s="21" t="str">
        <f t="shared" si="9"/>
        <v/>
      </c>
      <c r="AA186" s="21" t="str">
        <f t="shared" si="9"/>
        <v/>
      </c>
    </row>
    <row r="187" spans="22:27">
      <c r="V187" s="816">
        <v>28</v>
      </c>
      <c r="W187" s="223" t="s">
        <v>935</v>
      </c>
      <c r="X187" s="21">
        <f t="shared" si="11"/>
        <v>1</v>
      </c>
      <c r="Y187" s="21" t="str">
        <f t="shared" si="9"/>
        <v/>
      </c>
      <c r="Z187" s="21" t="str">
        <f t="shared" si="9"/>
        <v/>
      </c>
      <c r="AA187" s="21" t="str">
        <f t="shared" si="9"/>
        <v/>
      </c>
    </row>
    <row r="188" spans="22:27">
      <c r="V188" s="816">
        <v>29</v>
      </c>
      <c r="W188" s="223" t="s">
        <v>935</v>
      </c>
      <c r="X188" s="21">
        <f t="shared" si="11"/>
        <v>1</v>
      </c>
      <c r="Y188" s="21" t="str">
        <f t="shared" si="9"/>
        <v/>
      </c>
      <c r="Z188" s="21" t="str">
        <f t="shared" si="9"/>
        <v/>
      </c>
      <c r="AA188" s="21" t="str">
        <f t="shared" si="9"/>
        <v/>
      </c>
    </row>
    <row r="189" spans="22:27">
      <c r="V189" s="816">
        <v>30</v>
      </c>
      <c r="W189" s="223" t="s">
        <v>935</v>
      </c>
      <c r="X189" s="21">
        <f t="shared" si="11"/>
        <v>1</v>
      </c>
      <c r="Y189" s="21" t="str">
        <f t="shared" si="9"/>
        <v/>
      </c>
      <c r="Z189" s="21" t="str">
        <f t="shared" si="9"/>
        <v/>
      </c>
      <c r="AA189" s="21" t="str">
        <f t="shared" si="9"/>
        <v/>
      </c>
    </row>
    <row r="190" spans="22:27">
      <c r="V190" s="816">
        <v>31</v>
      </c>
      <c r="W190" s="223" t="s">
        <v>935</v>
      </c>
      <c r="X190" s="21">
        <f t="shared" si="11"/>
        <v>1</v>
      </c>
      <c r="Y190" s="21" t="str">
        <f t="shared" si="9"/>
        <v/>
      </c>
      <c r="Z190" s="21" t="str">
        <f t="shared" si="9"/>
        <v/>
      </c>
      <c r="AA190" s="21" t="str">
        <f t="shared" si="9"/>
        <v/>
      </c>
    </row>
    <row r="191" spans="22:27">
      <c r="V191" s="816">
        <v>32</v>
      </c>
      <c r="W191" s="223" t="s">
        <v>935</v>
      </c>
      <c r="X191" s="21">
        <f t="shared" si="11"/>
        <v>1</v>
      </c>
      <c r="Y191" s="21" t="str">
        <f t="shared" si="9"/>
        <v/>
      </c>
      <c r="Z191" s="21" t="str">
        <f t="shared" si="9"/>
        <v/>
      </c>
      <c r="AA191" s="21" t="str">
        <f t="shared" si="9"/>
        <v/>
      </c>
    </row>
    <row r="192" spans="22:27">
      <c r="V192" s="816">
        <v>33</v>
      </c>
      <c r="W192" s="223" t="s">
        <v>935</v>
      </c>
      <c r="X192" s="21">
        <f t="shared" si="11"/>
        <v>1</v>
      </c>
      <c r="Y192" s="21" t="str">
        <f t="shared" si="9"/>
        <v/>
      </c>
      <c r="Z192" s="21" t="str">
        <f t="shared" si="9"/>
        <v/>
      </c>
      <c r="AA192" s="21" t="str">
        <f t="shared" si="9"/>
        <v/>
      </c>
    </row>
    <row r="193" spans="22:27">
      <c r="V193" s="816">
        <v>34</v>
      </c>
      <c r="W193" s="223" t="s">
        <v>935</v>
      </c>
      <c r="X193" s="21">
        <f t="shared" si="11"/>
        <v>1</v>
      </c>
      <c r="Y193" s="21" t="str">
        <f t="shared" si="9"/>
        <v/>
      </c>
      <c r="Z193" s="21" t="str">
        <f t="shared" si="9"/>
        <v/>
      </c>
      <c r="AA193" s="21" t="str">
        <f t="shared" si="9"/>
        <v/>
      </c>
    </row>
    <row r="194" spans="22:27">
      <c r="V194" s="816">
        <v>35</v>
      </c>
      <c r="W194" s="223" t="s">
        <v>935</v>
      </c>
      <c r="X194" s="21">
        <f t="shared" si="11"/>
        <v>1</v>
      </c>
      <c r="Y194" s="21" t="str">
        <f t="shared" si="9"/>
        <v/>
      </c>
      <c r="Z194" s="21" t="str">
        <f t="shared" si="9"/>
        <v/>
      </c>
      <c r="AA194" s="21" t="str">
        <f t="shared" si="9"/>
        <v/>
      </c>
    </row>
    <row r="195" spans="22:27">
      <c r="V195" s="816">
        <v>36</v>
      </c>
      <c r="W195" s="223" t="s">
        <v>935</v>
      </c>
      <c r="X195" s="21">
        <f t="shared" si="11"/>
        <v>1</v>
      </c>
      <c r="Y195" s="21" t="str">
        <f t="shared" si="9"/>
        <v/>
      </c>
      <c r="Z195" s="21" t="str">
        <f t="shared" si="9"/>
        <v/>
      </c>
      <c r="AA195" s="21" t="str">
        <f t="shared" si="9"/>
        <v/>
      </c>
    </row>
    <row r="196" spans="22:27">
      <c r="V196" s="816">
        <v>37</v>
      </c>
      <c r="W196" s="223" t="s">
        <v>935</v>
      </c>
      <c r="X196" s="21">
        <f t="shared" si="11"/>
        <v>1</v>
      </c>
      <c r="Y196" s="21" t="str">
        <f t="shared" si="9"/>
        <v/>
      </c>
      <c r="Z196" s="21" t="str">
        <f t="shared" si="9"/>
        <v/>
      </c>
      <c r="AA196" s="21" t="str">
        <f t="shared" si="9"/>
        <v/>
      </c>
    </row>
    <row r="197" spans="22:27">
      <c r="V197" s="816">
        <v>38</v>
      </c>
      <c r="W197" s="223" t="s">
        <v>935</v>
      </c>
      <c r="X197" s="21">
        <f t="shared" si="11"/>
        <v>1</v>
      </c>
      <c r="Y197" s="21" t="str">
        <f t="shared" si="9"/>
        <v/>
      </c>
      <c r="Z197" s="21" t="str">
        <f t="shared" si="9"/>
        <v/>
      </c>
      <c r="AA197" s="21" t="str">
        <f t="shared" si="9"/>
        <v/>
      </c>
    </row>
    <row r="198" spans="22:27">
      <c r="V198" s="816">
        <v>39</v>
      </c>
      <c r="W198" s="223" t="s">
        <v>935</v>
      </c>
      <c r="X198" s="21">
        <f t="shared" si="11"/>
        <v>1</v>
      </c>
      <c r="Y198" s="21" t="str">
        <f t="shared" si="9"/>
        <v/>
      </c>
      <c r="Z198" s="21" t="str">
        <f t="shared" si="9"/>
        <v/>
      </c>
      <c r="AA198" s="21" t="str">
        <f t="shared" si="9"/>
        <v/>
      </c>
    </row>
    <row r="199" spans="22:27">
      <c r="V199" s="816">
        <v>40</v>
      </c>
      <c r="W199" s="223" t="s">
        <v>935</v>
      </c>
      <c r="X199" s="21">
        <f t="shared" si="11"/>
        <v>1</v>
      </c>
      <c r="Y199" s="21" t="str">
        <f>IF($W199=Y$4,1,"")</f>
        <v/>
      </c>
      <c r="Z199" s="21" t="str">
        <f>IF($W199=Z$4,1,"")</f>
        <v/>
      </c>
      <c r="AA199" s="21" t="str">
        <f>IF($W199=AA$4,1,"")</f>
        <v/>
      </c>
    </row>
    <row r="200" spans="22:27">
      <c r="V200" s="816">
        <v>41</v>
      </c>
      <c r="W200" s="223" t="s">
        <v>935</v>
      </c>
      <c r="X200" s="21">
        <f t="shared" ref="X200:AA263" si="12">IF($W200=X$4,1,"")</f>
        <v>1</v>
      </c>
      <c r="Y200" s="21" t="str">
        <f t="shared" si="12"/>
        <v/>
      </c>
      <c r="Z200" s="21" t="str">
        <f t="shared" si="12"/>
        <v/>
      </c>
      <c r="AA200" s="21" t="str">
        <f t="shared" si="12"/>
        <v/>
      </c>
    </row>
    <row r="201" spans="22:27">
      <c r="V201" s="816">
        <v>42</v>
      </c>
      <c r="W201" s="223" t="s">
        <v>935</v>
      </c>
      <c r="X201" s="21">
        <f t="shared" si="12"/>
        <v>1</v>
      </c>
      <c r="Y201" s="21" t="str">
        <f t="shared" si="12"/>
        <v/>
      </c>
      <c r="Z201" s="21" t="str">
        <f t="shared" si="12"/>
        <v/>
      </c>
      <c r="AA201" s="21" t="str">
        <f t="shared" si="12"/>
        <v/>
      </c>
    </row>
    <row r="202" spans="22:27">
      <c r="V202" s="816">
        <v>43</v>
      </c>
      <c r="W202" s="223" t="s">
        <v>935</v>
      </c>
      <c r="X202" s="21">
        <f t="shared" si="12"/>
        <v>1</v>
      </c>
      <c r="Y202" s="21" t="str">
        <f t="shared" si="12"/>
        <v/>
      </c>
      <c r="Z202" s="21" t="str">
        <f t="shared" si="12"/>
        <v/>
      </c>
      <c r="AA202" s="21" t="str">
        <f t="shared" si="12"/>
        <v/>
      </c>
    </row>
    <row r="203" spans="22:27">
      <c r="V203" s="816">
        <v>44</v>
      </c>
      <c r="W203" s="223" t="s">
        <v>935</v>
      </c>
      <c r="X203" s="21">
        <f t="shared" si="12"/>
        <v>1</v>
      </c>
      <c r="Y203" s="21" t="str">
        <f t="shared" si="12"/>
        <v/>
      </c>
      <c r="Z203" s="21" t="str">
        <f t="shared" si="12"/>
        <v/>
      </c>
      <c r="AA203" s="21" t="str">
        <f t="shared" si="12"/>
        <v/>
      </c>
    </row>
    <row r="204" spans="22:27">
      <c r="V204" s="816">
        <v>45</v>
      </c>
      <c r="W204" s="223" t="s">
        <v>935</v>
      </c>
      <c r="X204" s="21">
        <f t="shared" si="12"/>
        <v>1</v>
      </c>
      <c r="Y204" s="21" t="str">
        <f t="shared" si="12"/>
        <v/>
      </c>
      <c r="Z204" s="21" t="str">
        <f t="shared" si="12"/>
        <v/>
      </c>
      <c r="AA204" s="21" t="str">
        <f t="shared" si="12"/>
        <v/>
      </c>
    </row>
    <row r="205" spans="22:27">
      <c r="V205" s="816">
        <v>46</v>
      </c>
      <c r="W205" s="223" t="s">
        <v>935</v>
      </c>
      <c r="X205" s="21">
        <f t="shared" si="12"/>
        <v>1</v>
      </c>
      <c r="Y205" s="21" t="str">
        <f t="shared" si="12"/>
        <v/>
      </c>
      <c r="Z205" s="21" t="str">
        <f t="shared" si="12"/>
        <v/>
      </c>
      <c r="AA205" s="21" t="str">
        <f t="shared" si="12"/>
        <v/>
      </c>
    </row>
    <row r="206" spans="22:27">
      <c r="V206" s="816">
        <v>47</v>
      </c>
      <c r="W206" s="223" t="s">
        <v>935</v>
      </c>
      <c r="X206" s="21">
        <f t="shared" si="12"/>
        <v>1</v>
      </c>
      <c r="Y206" s="21" t="str">
        <f t="shared" si="12"/>
        <v/>
      </c>
      <c r="Z206" s="21" t="str">
        <f t="shared" si="12"/>
        <v/>
      </c>
      <c r="AA206" s="21" t="str">
        <f t="shared" si="12"/>
        <v/>
      </c>
    </row>
    <row r="207" spans="22:27">
      <c r="V207" s="816">
        <v>48</v>
      </c>
      <c r="W207" s="223" t="s">
        <v>935</v>
      </c>
      <c r="X207" s="21">
        <f t="shared" si="12"/>
        <v>1</v>
      </c>
      <c r="Y207" s="21" t="str">
        <f t="shared" si="12"/>
        <v/>
      </c>
      <c r="Z207" s="21" t="str">
        <f t="shared" si="12"/>
        <v/>
      </c>
      <c r="AA207" s="21" t="str">
        <f t="shared" si="12"/>
        <v/>
      </c>
    </row>
    <row r="208" spans="22:27">
      <c r="V208" s="816">
        <v>49</v>
      </c>
      <c r="W208" s="223" t="s">
        <v>935</v>
      </c>
      <c r="X208" s="21">
        <f t="shared" si="12"/>
        <v>1</v>
      </c>
      <c r="Y208" s="21" t="str">
        <f t="shared" si="12"/>
        <v/>
      </c>
      <c r="Z208" s="21" t="str">
        <f t="shared" si="12"/>
        <v/>
      </c>
      <c r="AA208" s="21" t="str">
        <f t="shared" si="12"/>
        <v/>
      </c>
    </row>
    <row r="209" spans="22:27">
      <c r="V209" s="816">
        <v>50</v>
      </c>
      <c r="W209" s="223" t="s">
        <v>935</v>
      </c>
      <c r="X209" s="21">
        <f t="shared" si="12"/>
        <v>1</v>
      </c>
      <c r="Y209" s="21" t="str">
        <f t="shared" si="12"/>
        <v/>
      </c>
      <c r="Z209" s="21" t="str">
        <f t="shared" si="12"/>
        <v/>
      </c>
      <c r="AA209" s="21" t="str">
        <f t="shared" si="12"/>
        <v/>
      </c>
    </row>
    <row r="210" spans="22:27">
      <c r="V210" s="816">
        <v>51</v>
      </c>
      <c r="W210" s="223" t="s">
        <v>936</v>
      </c>
      <c r="X210" s="21" t="str">
        <f t="shared" si="12"/>
        <v/>
      </c>
      <c r="Y210" s="21">
        <f t="shared" si="12"/>
        <v>1</v>
      </c>
      <c r="Z210" s="21" t="str">
        <f t="shared" si="12"/>
        <v/>
      </c>
      <c r="AA210" s="21" t="str">
        <f t="shared" si="12"/>
        <v/>
      </c>
    </row>
    <row r="211" spans="22:27">
      <c r="V211" s="816">
        <v>52</v>
      </c>
      <c r="W211" s="223" t="s">
        <v>936</v>
      </c>
      <c r="X211" s="21" t="str">
        <f t="shared" si="12"/>
        <v/>
      </c>
      <c r="Y211" s="21">
        <f t="shared" si="12"/>
        <v>1</v>
      </c>
      <c r="Z211" s="21" t="str">
        <f t="shared" si="12"/>
        <v/>
      </c>
      <c r="AA211" s="21" t="str">
        <f t="shared" si="12"/>
        <v/>
      </c>
    </row>
    <row r="212" spans="22:27">
      <c r="V212" s="816">
        <v>53</v>
      </c>
      <c r="W212" s="223" t="s">
        <v>937</v>
      </c>
      <c r="X212" s="21" t="str">
        <f t="shared" si="12"/>
        <v/>
      </c>
      <c r="Y212" s="21" t="str">
        <f t="shared" si="12"/>
        <v/>
      </c>
      <c r="Z212" s="21">
        <f t="shared" si="12"/>
        <v>1</v>
      </c>
      <c r="AA212" s="21" t="str">
        <f t="shared" si="12"/>
        <v/>
      </c>
    </row>
    <row r="213" spans="22:27">
      <c r="V213" s="816">
        <v>54</v>
      </c>
      <c r="W213" s="223" t="s">
        <v>937</v>
      </c>
      <c r="X213" s="21" t="str">
        <f t="shared" si="12"/>
        <v/>
      </c>
      <c r="Y213" s="21" t="str">
        <f t="shared" si="12"/>
        <v/>
      </c>
      <c r="Z213" s="21">
        <f t="shared" si="12"/>
        <v>1</v>
      </c>
      <c r="AA213" s="21" t="str">
        <f t="shared" si="12"/>
        <v/>
      </c>
    </row>
    <row r="214" spans="22:27">
      <c r="V214" s="816">
        <v>55</v>
      </c>
      <c r="W214" s="223" t="s">
        <v>937</v>
      </c>
      <c r="X214" s="21" t="str">
        <f t="shared" si="12"/>
        <v/>
      </c>
      <c r="Y214" s="21" t="str">
        <f t="shared" si="12"/>
        <v/>
      </c>
      <c r="Z214" s="21">
        <f t="shared" si="12"/>
        <v>1</v>
      </c>
      <c r="AA214" s="21" t="str">
        <f t="shared" si="12"/>
        <v/>
      </c>
    </row>
    <row r="215" spans="22:27">
      <c r="V215" s="816">
        <v>56</v>
      </c>
      <c r="W215" s="223" t="s">
        <v>937</v>
      </c>
      <c r="X215" s="21" t="str">
        <f t="shared" si="12"/>
        <v/>
      </c>
      <c r="Y215" s="21" t="str">
        <f t="shared" si="12"/>
        <v/>
      </c>
      <c r="Z215" s="21">
        <f t="shared" si="12"/>
        <v>1</v>
      </c>
      <c r="AA215" s="21" t="str">
        <f t="shared" si="12"/>
        <v/>
      </c>
    </row>
    <row r="216" spans="22:27">
      <c r="V216" s="816">
        <v>57</v>
      </c>
      <c r="W216" s="223" t="s">
        <v>142</v>
      </c>
      <c r="X216" s="21" t="str">
        <f t="shared" si="12"/>
        <v/>
      </c>
      <c r="Y216" s="21" t="str">
        <f t="shared" si="12"/>
        <v/>
      </c>
      <c r="Z216" s="21" t="str">
        <f t="shared" si="12"/>
        <v/>
      </c>
      <c r="AA216" s="21">
        <f t="shared" si="12"/>
        <v>1</v>
      </c>
    </row>
    <row r="217" spans="22:27">
      <c r="V217" s="816">
        <v>58</v>
      </c>
      <c r="W217" s="223" t="s">
        <v>142</v>
      </c>
      <c r="X217" s="21" t="str">
        <f t="shared" si="12"/>
        <v/>
      </c>
      <c r="Y217" s="21" t="str">
        <f t="shared" si="12"/>
        <v/>
      </c>
      <c r="Z217" s="21" t="str">
        <f t="shared" si="12"/>
        <v/>
      </c>
      <c r="AA217" s="21">
        <f t="shared" si="12"/>
        <v>1</v>
      </c>
    </row>
    <row r="218" spans="22:27">
      <c r="V218" s="816">
        <v>59</v>
      </c>
      <c r="W218" s="223" t="s">
        <v>142</v>
      </c>
      <c r="X218" s="21" t="str">
        <f t="shared" si="12"/>
        <v/>
      </c>
      <c r="Y218" s="21" t="str">
        <f t="shared" si="12"/>
        <v/>
      </c>
      <c r="Z218" s="21" t="str">
        <f t="shared" si="12"/>
        <v/>
      </c>
      <c r="AA218" s="21">
        <f t="shared" si="12"/>
        <v>1</v>
      </c>
    </row>
    <row r="219" spans="22:27">
      <c r="V219" s="816">
        <v>60</v>
      </c>
      <c r="W219" s="223" t="s">
        <v>142</v>
      </c>
      <c r="X219" s="21" t="str">
        <f t="shared" si="12"/>
        <v/>
      </c>
      <c r="Y219" s="21" t="str">
        <f t="shared" si="12"/>
        <v/>
      </c>
      <c r="Z219" s="21" t="str">
        <f t="shared" si="12"/>
        <v/>
      </c>
      <c r="AA219" s="21">
        <f t="shared" si="12"/>
        <v>1</v>
      </c>
    </row>
    <row r="220" spans="22:27">
      <c r="V220" s="816">
        <v>61</v>
      </c>
      <c r="W220" s="223" t="s">
        <v>142</v>
      </c>
      <c r="X220" s="21" t="str">
        <f t="shared" si="12"/>
        <v/>
      </c>
      <c r="Y220" s="21" t="str">
        <f t="shared" si="12"/>
        <v/>
      </c>
      <c r="Z220" s="21" t="str">
        <f t="shared" si="12"/>
        <v/>
      </c>
      <c r="AA220" s="21">
        <f t="shared" si="12"/>
        <v>1</v>
      </c>
    </row>
    <row r="221" spans="22:27">
      <c r="V221" s="816">
        <v>62</v>
      </c>
      <c r="W221" s="223" t="s">
        <v>142</v>
      </c>
      <c r="X221" s="21" t="str">
        <f t="shared" si="12"/>
        <v/>
      </c>
      <c r="Y221" s="21" t="str">
        <f t="shared" si="12"/>
        <v/>
      </c>
      <c r="Z221" s="21" t="str">
        <f t="shared" si="12"/>
        <v/>
      </c>
      <c r="AA221" s="21">
        <f t="shared" si="12"/>
        <v>1</v>
      </c>
    </row>
    <row r="222" spans="22:27">
      <c r="V222" s="816">
        <v>63</v>
      </c>
      <c r="W222" s="223" t="s">
        <v>142</v>
      </c>
      <c r="X222" s="21" t="str">
        <f t="shared" si="12"/>
        <v/>
      </c>
      <c r="Y222" s="21" t="str">
        <f t="shared" si="12"/>
        <v/>
      </c>
      <c r="Z222" s="21" t="str">
        <f t="shared" si="12"/>
        <v/>
      </c>
      <c r="AA222" s="21">
        <f t="shared" si="12"/>
        <v>1</v>
      </c>
    </row>
    <row r="223" spans="22:27">
      <c r="V223" s="816">
        <v>64</v>
      </c>
      <c r="W223" s="223" t="s">
        <v>142</v>
      </c>
      <c r="X223" s="21" t="str">
        <f t="shared" si="12"/>
        <v/>
      </c>
      <c r="Y223" s="21" t="str">
        <f t="shared" si="12"/>
        <v/>
      </c>
      <c r="Z223" s="21" t="str">
        <f t="shared" si="12"/>
        <v/>
      </c>
      <c r="AA223" s="21">
        <f t="shared" si="12"/>
        <v>1</v>
      </c>
    </row>
    <row r="224" spans="22:27">
      <c r="V224" s="816">
        <v>65</v>
      </c>
      <c r="W224" s="223" t="s">
        <v>142</v>
      </c>
      <c r="X224" s="21" t="str">
        <f t="shared" si="12"/>
        <v/>
      </c>
      <c r="Y224" s="21" t="str">
        <f t="shared" si="12"/>
        <v/>
      </c>
      <c r="Z224" s="21" t="str">
        <f t="shared" si="12"/>
        <v/>
      </c>
      <c r="AA224" s="21">
        <f t="shared" si="12"/>
        <v>1</v>
      </c>
    </row>
    <row r="225" spans="22:27">
      <c r="V225" s="816">
        <v>66</v>
      </c>
      <c r="W225" s="223" t="s">
        <v>142</v>
      </c>
      <c r="X225" s="21" t="str">
        <f t="shared" si="12"/>
        <v/>
      </c>
      <c r="Y225" s="21" t="str">
        <f t="shared" si="12"/>
        <v/>
      </c>
      <c r="Z225" s="21" t="str">
        <f t="shared" si="12"/>
        <v/>
      </c>
      <c r="AA225" s="21">
        <f t="shared" si="12"/>
        <v>1</v>
      </c>
    </row>
    <row r="226" spans="22:27">
      <c r="V226" s="816">
        <v>67</v>
      </c>
      <c r="W226" s="223" t="s">
        <v>142</v>
      </c>
      <c r="X226" s="21" t="str">
        <f t="shared" si="12"/>
        <v/>
      </c>
      <c r="Y226" s="21" t="str">
        <f t="shared" si="12"/>
        <v/>
      </c>
      <c r="Z226" s="21" t="str">
        <f t="shared" si="12"/>
        <v/>
      </c>
      <c r="AA226" s="21">
        <f t="shared" si="12"/>
        <v>1</v>
      </c>
    </row>
    <row r="227" spans="22:27">
      <c r="V227" s="816">
        <v>68</v>
      </c>
      <c r="W227" s="223" t="s">
        <v>142</v>
      </c>
      <c r="X227" s="21" t="str">
        <f t="shared" si="12"/>
        <v/>
      </c>
      <c r="Y227" s="21" t="str">
        <f t="shared" si="12"/>
        <v/>
      </c>
      <c r="Z227" s="21" t="str">
        <f t="shared" si="12"/>
        <v/>
      </c>
      <c r="AA227" s="21">
        <f t="shared" si="12"/>
        <v>1</v>
      </c>
    </row>
    <row r="228" spans="22:27">
      <c r="V228" s="816">
        <v>69</v>
      </c>
      <c r="W228" s="223" t="s">
        <v>142</v>
      </c>
      <c r="X228" s="21" t="str">
        <f t="shared" si="12"/>
        <v/>
      </c>
      <c r="Y228" s="21" t="str">
        <f t="shared" si="12"/>
        <v/>
      </c>
      <c r="Z228" s="21" t="str">
        <f t="shared" si="12"/>
        <v/>
      </c>
      <c r="AA228" s="21">
        <f t="shared" si="12"/>
        <v>1</v>
      </c>
    </row>
    <row r="229" spans="22:27">
      <c r="V229" s="816">
        <v>70</v>
      </c>
      <c r="W229" s="223" t="s">
        <v>937</v>
      </c>
      <c r="X229" s="21" t="str">
        <f t="shared" si="12"/>
        <v/>
      </c>
      <c r="Y229" s="21" t="str">
        <f t="shared" si="12"/>
        <v/>
      </c>
      <c r="Z229" s="21">
        <f t="shared" si="12"/>
        <v>1</v>
      </c>
      <c r="AA229" s="21" t="str">
        <f t="shared" si="12"/>
        <v/>
      </c>
    </row>
    <row r="230" spans="22:27">
      <c r="V230" s="816">
        <v>71</v>
      </c>
      <c r="W230" s="223" t="s">
        <v>937</v>
      </c>
      <c r="X230" s="21" t="str">
        <f t="shared" si="12"/>
        <v/>
      </c>
      <c r="Y230" s="21" t="str">
        <f t="shared" si="12"/>
        <v/>
      </c>
      <c r="Z230" s="21">
        <f t="shared" si="12"/>
        <v>1</v>
      </c>
      <c r="AA230" s="21" t="str">
        <f t="shared" si="12"/>
        <v/>
      </c>
    </row>
    <row r="231" spans="22:27">
      <c r="V231" s="816">
        <v>72</v>
      </c>
      <c r="W231" s="223" t="s">
        <v>937</v>
      </c>
      <c r="X231" s="21" t="str">
        <f t="shared" si="12"/>
        <v/>
      </c>
      <c r="Y231" s="21" t="str">
        <f t="shared" si="12"/>
        <v/>
      </c>
      <c r="Z231" s="21">
        <f t="shared" si="12"/>
        <v>1</v>
      </c>
      <c r="AA231" s="21" t="str">
        <f t="shared" si="12"/>
        <v/>
      </c>
    </row>
    <row r="232" spans="22:27">
      <c r="V232" s="816">
        <v>73</v>
      </c>
      <c r="W232" s="223" t="s">
        <v>935</v>
      </c>
      <c r="X232" s="21">
        <f t="shared" si="12"/>
        <v>1</v>
      </c>
      <c r="Y232" s="21" t="str">
        <f t="shared" si="12"/>
        <v/>
      </c>
      <c r="Z232" s="21" t="str">
        <f t="shared" si="12"/>
        <v/>
      </c>
      <c r="AA232" s="21" t="str">
        <f t="shared" si="12"/>
        <v/>
      </c>
    </row>
    <row r="233" spans="22:27">
      <c r="V233" s="816">
        <v>74</v>
      </c>
      <c r="W233" s="223" t="s">
        <v>935</v>
      </c>
      <c r="X233" s="21">
        <f t="shared" si="12"/>
        <v>1</v>
      </c>
      <c r="Y233" s="21" t="str">
        <f t="shared" si="12"/>
        <v/>
      </c>
      <c r="Z233" s="21" t="str">
        <f t="shared" si="12"/>
        <v/>
      </c>
      <c r="AA233" s="21" t="str">
        <f t="shared" si="12"/>
        <v/>
      </c>
    </row>
    <row r="234" spans="22:27">
      <c r="V234" s="816">
        <v>75</v>
      </c>
      <c r="W234" s="223" t="s">
        <v>935</v>
      </c>
      <c r="X234" s="21">
        <f t="shared" si="12"/>
        <v>1</v>
      </c>
      <c r="Y234" s="21" t="str">
        <f t="shared" si="12"/>
        <v/>
      </c>
      <c r="Z234" s="21" t="str">
        <f t="shared" si="12"/>
        <v/>
      </c>
      <c r="AA234" s="21" t="str">
        <f t="shared" si="12"/>
        <v/>
      </c>
    </row>
    <row r="235" spans="22:27">
      <c r="V235" s="816">
        <v>76</v>
      </c>
      <c r="W235" s="223" t="s">
        <v>935</v>
      </c>
      <c r="X235" s="21">
        <f t="shared" si="12"/>
        <v>1</v>
      </c>
      <c r="Y235" s="21" t="str">
        <f t="shared" si="12"/>
        <v/>
      </c>
      <c r="Z235" s="21" t="str">
        <f t="shared" si="12"/>
        <v/>
      </c>
      <c r="AA235" s="21" t="str">
        <f t="shared" si="12"/>
        <v/>
      </c>
    </row>
    <row r="236" spans="22:27">
      <c r="V236" s="816">
        <v>77</v>
      </c>
      <c r="W236" s="223" t="s">
        <v>935</v>
      </c>
      <c r="X236" s="21">
        <f t="shared" si="12"/>
        <v>1</v>
      </c>
      <c r="Y236" s="21" t="str">
        <f t="shared" si="12"/>
        <v/>
      </c>
      <c r="Z236" s="21" t="str">
        <f t="shared" si="12"/>
        <v/>
      </c>
      <c r="AA236" s="21" t="str">
        <f t="shared" si="12"/>
        <v/>
      </c>
    </row>
    <row r="237" spans="22:27">
      <c r="V237" s="816">
        <v>78</v>
      </c>
      <c r="W237" s="223" t="s">
        <v>935</v>
      </c>
      <c r="X237" s="21">
        <f t="shared" si="12"/>
        <v>1</v>
      </c>
      <c r="Y237" s="21" t="str">
        <f t="shared" si="12"/>
        <v/>
      </c>
      <c r="Z237" s="21" t="str">
        <f t="shared" si="12"/>
        <v/>
      </c>
      <c r="AA237" s="21" t="str">
        <f t="shared" si="12"/>
        <v/>
      </c>
    </row>
    <row r="238" spans="22:27">
      <c r="V238" s="816">
        <v>79</v>
      </c>
      <c r="W238" s="223" t="s">
        <v>935</v>
      </c>
      <c r="X238" s="21">
        <f t="shared" si="12"/>
        <v>1</v>
      </c>
      <c r="Y238" s="21" t="str">
        <f t="shared" si="12"/>
        <v/>
      </c>
      <c r="Z238" s="21" t="str">
        <f t="shared" si="12"/>
        <v/>
      </c>
      <c r="AA238" s="21" t="str">
        <f t="shared" si="12"/>
        <v/>
      </c>
    </row>
    <row r="239" spans="22:27">
      <c r="V239" s="816">
        <v>80</v>
      </c>
      <c r="W239" s="223" t="s">
        <v>935</v>
      </c>
      <c r="X239" s="21">
        <f t="shared" si="12"/>
        <v>1</v>
      </c>
      <c r="Y239" s="21" t="str">
        <f t="shared" si="12"/>
        <v/>
      </c>
      <c r="Z239" s="21" t="str">
        <f t="shared" si="12"/>
        <v/>
      </c>
      <c r="AA239" s="21" t="str">
        <f t="shared" si="12"/>
        <v/>
      </c>
    </row>
    <row r="240" spans="22:27">
      <c r="V240" s="816">
        <v>81</v>
      </c>
      <c r="W240" s="223" t="s">
        <v>935</v>
      </c>
      <c r="X240" s="21">
        <f t="shared" si="12"/>
        <v>1</v>
      </c>
      <c r="Y240" s="21" t="str">
        <f t="shared" si="12"/>
        <v/>
      </c>
      <c r="Z240" s="21" t="str">
        <f t="shared" si="12"/>
        <v/>
      </c>
      <c r="AA240" s="21" t="str">
        <f t="shared" si="12"/>
        <v/>
      </c>
    </row>
    <row r="241" spans="22:27">
      <c r="V241" s="816">
        <v>82</v>
      </c>
      <c r="W241" s="223" t="s">
        <v>935</v>
      </c>
      <c r="X241" s="21">
        <f t="shared" si="12"/>
        <v>1</v>
      </c>
      <c r="Y241" s="21" t="str">
        <f t="shared" si="12"/>
        <v/>
      </c>
      <c r="Z241" s="21" t="str">
        <f t="shared" si="12"/>
        <v/>
      </c>
      <c r="AA241" s="21" t="str">
        <f t="shared" si="12"/>
        <v/>
      </c>
    </row>
    <row r="242" spans="22:27">
      <c r="V242" s="816">
        <v>83</v>
      </c>
      <c r="W242" s="223" t="s">
        <v>935</v>
      </c>
      <c r="X242" s="21">
        <f t="shared" si="12"/>
        <v>1</v>
      </c>
      <c r="Y242" s="21" t="str">
        <f t="shared" si="12"/>
        <v/>
      </c>
      <c r="Z242" s="21" t="str">
        <f t="shared" si="12"/>
        <v/>
      </c>
      <c r="AA242" s="21" t="str">
        <f t="shared" si="12"/>
        <v/>
      </c>
    </row>
    <row r="243" spans="22:27">
      <c r="V243" s="816">
        <v>84</v>
      </c>
      <c r="W243" s="223" t="s">
        <v>935</v>
      </c>
      <c r="X243" s="21">
        <f t="shared" si="12"/>
        <v>1</v>
      </c>
      <c r="Y243" s="21" t="str">
        <f t="shared" si="12"/>
        <v/>
      </c>
      <c r="Z243" s="21" t="str">
        <f t="shared" si="12"/>
        <v/>
      </c>
      <c r="AA243" s="21" t="str">
        <f t="shared" si="12"/>
        <v/>
      </c>
    </row>
    <row r="244" spans="22:27">
      <c r="V244" s="816">
        <v>85</v>
      </c>
      <c r="W244" s="223" t="s">
        <v>935</v>
      </c>
      <c r="X244" s="21">
        <f t="shared" si="12"/>
        <v>1</v>
      </c>
      <c r="Y244" s="21" t="str">
        <f t="shared" si="12"/>
        <v/>
      </c>
      <c r="Z244" s="21" t="str">
        <f t="shared" si="12"/>
        <v/>
      </c>
      <c r="AA244" s="21" t="str">
        <f t="shared" si="12"/>
        <v/>
      </c>
    </row>
    <row r="245" spans="22:27">
      <c r="V245" s="816">
        <v>86</v>
      </c>
      <c r="W245" s="223" t="s">
        <v>935</v>
      </c>
      <c r="X245" s="21">
        <f t="shared" si="12"/>
        <v>1</v>
      </c>
      <c r="Y245" s="21" t="str">
        <f t="shared" si="12"/>
        <v/>
      </c>
      <c r="Z245" s="21" t="str">
        <f t="shared" si="12"/>
        <v/>
      </c>
      <c r="AA245" s="21" t="str">
        <f t="shared" si="12"/>
        <v/>
      </c>
    </row>
    <row r="246" spans="22:27">
      <c r="V246" s="816">
        <v>87</v>
      </c>
      <c r="W246" s="223" t="s">
        <v>142</v>
      </c>
      <c r="X246" s="21" t="str">
        <f t="shared" si="12"/>
        <v/>
      </c>
      <c r="Y246" s="21" t="str">
        <f t="shared" si="12"/>
        <v/>
      </c>
      <c r="Z246" s="21" t="str">
        <f t="shared" si="12"/>
        <v/>
      </c>
      <c r="AA246" s="21">
        <f t="shared" si="12"/>
        <v>1</v>
      </c>
    </row>
    <row r="247" spans="22:27">
      <c r="V247" s="816">
        <v>88</v>
      </c>
      <c r="W247" s="223" t="s">
        <v>142</v>
      </c>
      <c r="X247" s="21" t="str">
        <f t="shared" si="12"/>
        <v/>
      </c>
      <c r="Y247" s="21" t="str">
        <f t="shared" si="12"/>
        <v/>
      </c>
      <c r="Z247" s="21" t="str">
        <f t="shared" si="12"/>
        <v/>
      </c>
      <c r="AA247" s="21">
        <f t="shared" si="12"/>
        <v>1</v>
      </c>
    </row>
    <row r="248" spans="22:27">
      <c r="V248" s="816">
        <v>89</v>
      </c>
      <c r="W248" s="223" t="s">
        <v>142</v>
      </c>
      <c r="X248" s="21" t="str">
        <f t="shared" si="12"/>
        <v/>
      </c>
      <c r="Y248" s="21" t="str">
        <f t="shared" si="12"/>
        <v/>
      </c>
      <c r="Z248" s="21" t="str">
        <f t="shared" si="12"/>
        <v/>
      </c>
      <c r="AA248" s="21">
        <f t="shared" si="12"/>
        <v>1</v>
      </c>
    </row>
    <row r="249" spans="22:27">
      <c r="V249" s="816">
        <v>90</v>
      </c>
      <c r="W249" s="223" t="s">
        <v>142</v>
      </c>
      <c r="X249" s="21" t="str">
        <f t="shared" si="12"/>
        <v/>
      </c>
      <c r="Y249" s="21" t="str">
        <f t="shared" si="12"/>
        <v/>
      </c>
      <c r="Z249" s="21" t="str">
        <f t="shared" si="12"/>
        <v/>
      </c>
      <c r="AA249" s="21">
        <f t="shared" si="12"/>
        <v>1</v>
      </c>
    </row>
    <row r="250" spans="22:27">
      <c r="V250" s="816">
        <v>91</v>
      </c>
      <c r="W250" s="223" t="s">
        <v>142</v>
      </c>
      <c r="X250" s="21" t="str">
        <f t="shared" si="12"/>
        <v/>
      </c>
      <c r="Y250" s="21" t="str">
        <f t="shared" si="12"/>
        <v/>
      </c>
      <c r="Z250" s="21" t="str">
        <f t="shared" si="12"/>
        <v/>
      </c>
      <c r="AA250" s="21">
        <f t="shared" si="12"/>
        <v>1</v>
      </c>
    </row>
    <row r="251" spans="22:27">
      <c r="V251" s="816">
        <v>92</v>
      </c>
      <c r="W251" s="223" t="s">
        <v>142</v>
      </c>
      <c r="X251" s="21" t="str">
        <f t="shared" si="12"/>
        <v/>
      </c>
      <c r="Y251" s="21" t="str">
        <f t="shared" si="12"/>
        <v/>
      </c>
      <c r="Z251" s="21" t="str">
        <f t="shared" si="12"/>
        <v/>
      </c>
      <c r="AA251" s="21">
        <f t="shared" si="12"/>
        <v>1</v>
      </c>
    </row>
    <row r="252" spans="22:27">
      <c r="V252" s="816">
        <v>93</v>
      </c>
      <c r="W252" s="223" t="s">
        <v>936</v>
      </c>
      <c r="X252" s="21" t="str">
        <f t="shared" si="12"/>
        <v/>
      </c>
      <c r="Y252" s="21">
        <f t="shared" si="12"/>
        <v>1</v>
      </c>
      <c r="Z252" s="21" t="str">
        <f t="shared" si="12"/>
        <v/>
      </c>
      <c r="AA252" s="21" t="str">
        <f t="shared" si="12"/>
        <v/>
      </c>
    </row>
    <row r="253" spans="22:27">
      <c r="V253" s="816">
        <v>94</v>
      </c>
      <c r="W253" s="223" t="s">
        <v>936</v>
      </c>
      <c r="X253" s="21" t="str">
        <f t="shared" si="12"/>
        <v/>
      </c>
      <c r="Y253" s="21">
        <f t="shared" si="12"/>
        <v>1</v>
      </c>
      <c r="Z253" s="21" t="str">
        <f t="shared" si="12"/>
        <v/>
      </c>
      <c r="AA253" s="21" t="str">
        <f t="shared" si="12"/>
        <v/>
      </c>
    </row>
    <row r="254" spans="22:27">
      <c r="V254" s="816">
        <v>95</v>
      </c>
      <c r="W254" s="223" t="s">
        <v>142</v>
      </c>
      <c r="X254" s="21" t="str">
        <f t="shared" si="12"/>
        <v/>
      </c>
      <c r="Y254" s="21" t="str">
        <f t="shared" si="12"/>
        <v/>
      </c>
      <c r="Z254" s="21" t="str">
        <f t="shared" si="12"/>
        <v/>
      </c>
      <c r="AA254" s="21">
        <f t="shared" si="12"/>
        <v>1</v>
      </c>
    </row>
    <row r="255" spans="22:27">
      <c r="V255" s="816">
        <v>96</v>
      </c>
      <c r="W255" s="223" t="s">
        <v>142</v>
      </c>
      <c r="X255" s="21" t="str">
        <f t="shared" si="12"/>
        <v/>
      </c>
      <c r="Y255" s="21" t="str">
        <f t="shared" si="12"/>
        <v/>
      </c>
      <c r="Z255" s="21" t="str">
        <f t="shared" si="12"/>
        <v/>
      </c>
      <c r="AA255" s="21">
        <f t="shared" si="12"/>
        <v>1</v>
      </c>
    </row>
    <row r="256" spans="22:27">
      <c r="V256" s="816">
        <v>97</v>
      </c>
      <c r="W256" s="223" t="s">
        <v>142</v>
      </c>
      <c r="X256" s="21" t="str">
        <f t="shared" si="12"/>
        <v/>
      </c>
      <c r="Y256" s="21" t="str">
        <f t="shared" si="12"/>
        <v/>
      </c>
      <c r="Z256" s="21" t="str">
        <f t="shared" si="12"/>
        <v/>
      </c>
      <c r="AA256" s="21">
        <f t="shared" si="12"/>
        <v>1</v>
      </c>
    </row>
    <row r="257" spans="22:27">
      <c r="V257" s="816">
        <v>98</v>
      </c>
      <c r="W257" s="223" t="s">
        <v>142</v>
      </c>
      <c r="X257" s="21" t="str">
        <f t="shared" si="12"/>
        <v/>
      </c>
      <c r="Y257" s="21" t="str">
        <f t="shared" si="12"/>
        <v/>
      </c>
      <c r="Z257" s="21" t="str">
        <f t="shared" si="12"/>
        <v/>
      </c>
      <c r="AA257" s="21">
        <f t="shared" si="12"/>
        <v>1</v>
      </c>
    </row>
    <row r="258" spans="22:27">
      <c r="V258" s="816">
        <v>99</v>
      </c>
      <c r="W258" s="223" t="s">
        <v>142</v>
      </c>
      <c r="X258" s="21" t="str">
        <f t="shared" si="12"/>
        <v/>
      </c>
      <c r="Y258" s="21" t="str">
        <f t="shared" si="12"/>
        <v/>
      </c>
      <c r="Z258" s="21" t="str">
        <f t="shared" si="12"/>
        <v/>
      </c>
      <c r="AA258" s="21">
        <f t="shared" si="12"/>
        <v>1</v>
      </c>
    </row>
    <row r="259" spans="22:27">
      <c r="V259" s="816">
        <v>100</v>
      </c>
      <c r="W259" s="223" t="s">
        <v>142</v>
      </c>
      <c r="X259" s="21" t="str">
        <f t="shared" si="12"/>
        <v/>
      </c>
      <c r="Y259" s="21" t="str">
        <f t="shared" si="12"/>
        <v/>
      </c>
      <c r="Z259" s="21" t="str">
        <f t="shared" si="12"/>
        <v/>
      </c>
      <c r="AA259" s="21">
        <f t="shared" si="12"/>
        <v>1</v>
      </c>
    </row>
    <row r="260" spans="22:27">
      <c r="V260" s="816">
        <v>101</v>
      </c>
      <c r="W260" s="223" t="s">
        <v>937</v>
      </c>
      <c r="X260" s="21" t="str">
        <f t="shared" si="12"/>
        <v/>
      </c>
      <c r="Y260" s="21" t="str">
        <f t="shared" si="12"/>
        <v/>
      </c>
      <c r="Z260" s="21">
        <f t="shared" si="12"/>
        <v>1</v>
      </c>
      <c r="AA260" s="21" t="str">
        <f t="shared" si="12"/>
        <v/>
      </c>
    </row>
    <row r="261" spans="22:27">
      <c r="V261" s="816">
        <v>102</v>
      </c>
      <c r="W261" s="223" t="s">
        <v>937</v>
      </c>
      <c r="X261" s="21" t="str">
        <f t="shared" si="12"/>
        <v/>
      </c>
      <c r="Y261" s="21" t="str">
        <f t="shared" si="12"/>
        <v/>
      </c>
      <c r="Z261" s="21">
        <f t="shared" si="12"/>
        <v>1</v>
      </c>
      <c r="AA261" s="21" t="str">
        <f t="shared" si="12"/>
        <v/>
      </c>
    </row>
    <row r="262" spans="22:27">
      <c r="V262" s="816">
        <v>103</v>
      </c>
      <c r="W262" s="223" t="s">
        <v>142</v>
      </c>
      <c r="X262" s="21" t="str">
        <f t="shared" si="12"/>
        <v/>
      </c>
      <c r="Y262" s="21" t="str">
        <f t="shared" si="12"/>
        <v/>
      </c>
      <c r="Z262" s="21" t="str">
        <f t="shared" si="12"/>
        <v/>
      </c>
      <c r="AA262" s="21">
        <f t="shared" si="12"/>
        <v>1</v>
      </c>
    </row>
    <row r="263" spans="22:27">
      <c r="V263" s="816">
        <v>104</v>
      </c>
      <c r="W263" s="223" t="s">
        <v>937</v>
      </c>
      <c r="X263" s="21" t="str">
        <f t="shared" si="12"/>
        <v/>
      </c>
      <c r="Y263" s="21" t="str">
        <f t="shared" si="12"/>
        <v/>
      </c>
      <c r="Z263" s="21">
        <f t="shared" si="12"/>
        <v>1</v>
      </c>
      <c r="AA263" s="21" t="str">
        <f t="shared" ref="Y263:AA326" si="13">IF($W263=AA$4,1,"")</f>
        <v/>
      </c>
    </row>
    <row r="264" spans="22:27">
      <c r="V264" s="816">
        <v>105</v>
      </c>
      <c r="W264" s="223" t="s">
        <v>142</v>
      </c>
      <c r="X264" s="21" t="str">
        <f t="shared" ref="X264:X295" si="14">IF($W264=X$4,1,"")</f>
        <v/>
      </c>
      <c r="Y264" s="21" t="str">
        <f t="shared" si="13"/>
        <v/>
      </c>
      <c r="Z264" s="21" t="str">
        <f t="shared" si="13"/>
        <v/>
      </c>
      <c r="AA264" s="21">
        <f t="shared" si="13"/>
        <v>1</v>
      </c>
    </row>
    <row r="265" spans="22:27">
      <c r="V265" s="816">
        <v>106</v>
      </c>
      <c r="W265" s="223" t="s">
        <v>936</v>
      </c>
      <c r="X265" s="21" t="str">
        <f t="shared" si="14"/>
        <v/>
      </c>
      <c r="Y265" s="21">
        <f t="shared" si="13"/>
        <v>1</v>
      </c>
      <c r="Z265" s="21" t="str">
        <f t="shared" si="13"/>
        <v/>
      </c>
      <c r="AA265" s="21" t="str">
        <f t="shared" si="13"/>
        <v/>
      </c>
    </row>
    <row r="266" spans="22:27">
      <c r="V266" s="816">
        <v>107</v>
      </c>
      <c r="W266" s="223" t="s">
        <v>935</v>
      </c>
      <c r="X266" s="21">
        <f t="shared" si="14"/>
        <v>1</v>
      </c>
      <c r="Y266" s="21" t="str">
        <f t="shared" si="13"/>
        <v/>
      </c>
      <c r="Z266" s="21" t="str">
        <f t="shared" si="13"/>
        <v/>
      </c>
      <c r="AA266" s="21" t="str">
        <f t="shared" si="13"/>
        <v/>
      </c>
    </row>
    <row r="267" spans="22:27">
      <c r="V267" s="816">
        <v>108</v>
      </c>
      <c r="W267" s="223" t="s">
        <v>935</v>
      </c>
      <c r="X267" s="21">
        <f t="shared" si="14"/>
        <v>1</v>
      </c>
      <c r="Y267" s="21" t="str">
        <f t="shared" si="13"/>
        <v/>
      </c>
      <c r="Z267" s="21" t="str">
        <f t="shared" si="13"/>
        <v/>
      </c>
      <c r="AA267" s="21" t="str">
        <f t="shared" si="13"/>
        <v/>
      </c>
    </row>
    <row r="268" spans="22:27">
      <c r="V268" s="816">
        <v>109</v>
      </c>
      <c r="W268" s="223" t="s">
        <v>935</v>
      </c>
      <c r="X268" s="21">
        <f t="shared" si="14"/>
        <v>1</v>
      </c>
      <c r="Y268" s="21" t="str">
        <f t="shared" si="13"/>
        <v/>
      </c>
      <c r="Z268" s="21" t="str">
        <f t="shared" si="13"/>
        <v/>
      </c>
      <c r="AA268" s="21" t="str">
        <f t="shared" si="13"/>
        <v/>
      </c>
    </row>
    <row r="269" spans="22:27">
      <c r="V269" s="816">
        <v>110</v>
      </c>
      <c r="W269" s="223" t="s">
        <v>935</v>
      </c>
      <c r="X269" s="21">
        <f t="shared" si="14"/>
        <v>1</v>
      </c>
      <c r="Y269" s="21" t="str">
        <f t="shared" si="13"/>
        <v/>
      </c>
      <c r="Z269" s="21" t="str">
        <f t="shared" si="13"/>
        <v/>
      </c>
      <c r="AA269" s="21" t="str">
        <f t="shared" si="13"/>
        <v/>
      </c>
    </row>
    <row r="270" spans="22:27">
      <c r="V270" s="816">
        <v>111</v>
      </c>
      <c r="W270" s="223" t="s">
        <v>935</v>
      </c>
      <c r="X270" s="21">
        <f t="shared" si="14"/>
        <v>1</v>
      </c>
      <c r="Y270" s="21" t="str">
        <f t="shared" si="13"/>
        <v/>
      </c>
      <c r="Z270" s="21" t="str">
        <f t="shared" si="13"/>
        <v/>
      </c>
      <c r="AA270" s="21" t="str">
        <f t="shared" si="13"/>
        <v/>
      </c>
    </row>
    <row r="271" spans="22:27">
      <c r="V271" s="816">
        <v>112</v>
      </c>
      <c r="W271" s="223" t="s">
        <v>935</v>
      </c>
      <c r="X271" s="21">
        <f t="shared" si="14"/>
        <v>1</v>
      </c>
      <c r="Y271" s="21" t="str">
        <f t="shared" si="13"/>
        <v/>
      </c>
      <c r="Z271" s="21" t="str">
        <f t="shared" si="13"/>
        <v/>
      </c>
      <c r="AA271" s="21" t="str">
        <f t="shared" si="13"/>
        <v/>
      </c>
    </row>
    <row r="272" spans="22:27">
      <c r="V272" s="816">
        <v>113</v>
      </c>
      <c r="W272" s="223" t="s">
        <v>936</v>
      </c>
      <c r="X272" s="21" t="str">
        <f t="shared" si="14"/>
        <v/>
      </c>
      <c r="Y272" s="21">
        <f t="shared" si="13"/>
        <v>1</v>
      </c>
      <c r="Z272" s="21" t="str">
        <f t="shared" si="13"/>
        <v/>
      </c>
      <c r="AA272" s="21" t="str">
        <f t="shared" si="13"/>
        <v/>
      </c>
    </row>
    <row r="273" spans="22:27">
      <c r="V273" s="816">
        <v>114</v>
      </c>
      <c r="W273" s="223" t="s">
        <v>936</v>
      </c>
      <c r="X273" s="21" t="str">
        <f t="shared" si="14"/>
        <v/>
      </c>
      <c r="Y273" s="21">
        <f t="shared" si="13"/>
        <v>1</v>
      </c>
      <c r="Z273" s="21" t="str">
        <f t="shared" si="13"/>
        <v/>
      </c>
      <c r="AA273" s="21" t="str">
        <f t="shared" si="13"/>
        <v/>
      </c>
    </row>
    <row r="274" spans="22:27">
      <c r="V274" s="816">
        <v>115</v>
      </c>
      <c r="W274" s="223" t="s">
        <v>142</v>
      </c>
      <c r="X274" s="21" t="str">
        <f t="shared" si="14"/>
        <v/>
      </c>
      <c r="Y274" s="21" t="str">
        <f t="shared" si="13"/>
        <v/>
      </c>
      <c r="Z274" s="21" t="str">
        <f t="shared" si="13"/>
        <v/>
      </c>
      <c r="AA274" s="21">
        <f t="shared" si="13"/>
        <v>1</v>
      </c>
    </row>
    <row r="275" spans="22:27">
      <c r="V275" s="816">
        <v>116</v>
      </c>
      <c r="W275" s="223" t="s">
        <v>142</v>
      </c>
      <c r="X275" s="21" t="str">
        <f t="shared" si="14"/>
        <v/>
      </c>
      <c r="Y275" s="21" t="str">
        <f t="shared" si="13"/>
        <v/>
      </c>
      <c r="Z275" s="21" t="str">
        <f t="shared" si="13"/>
        <v/>
      </c>
      <c r="AA275" s="21">
        <f t="shared" si="13"/>
        <v>1</v>
      </c>
    </row>
    <row r="276" spans="22:27">
      <c r="V276" s="816">
        <v>117</v>
      </c>
      <c r="W276" s="223" t="s">
        <v>142</v>
      </c>
      <c r="X276" s="21" t="str">
        <f t="shared" si="14"/>
        <v/>
      </c>
      <c r="Y276" s="21" t="str">
        <f t="shared" si="13"/>
        <v/>
      </c>
      <c r="Z276" s="21" t="str">
        <f t="shared" si="13"/>
        <v/>
      </c>
      <c r="AA276" s="21">
        <f t="shared" si="13"/>
        <v>1</v>
      </c>
    </row>
    <row r="277" spans="22:27">
      <c r="V277" s="816">
        <v>118</v>
      </c>
      <c r="W277" s="223" t="s">
        <v>142</v>
      </c>
      <c r="X277" s="21" t="str">
        <f t="shared" si="14"/>
        <v/>
      </c>
      <c r="Y277" s="21" t="str">
        <f t="shared" si="13"/>
        <v/>
      </c>
      <c r="Z277" s="21" t="str">
        <f t="shared" si="13"/>
        <v/>
      </c>
      <c r="AA277" s="21">
        <f t="shared" si="13"/>
        <v>1</v>
      </c>
    </row>
    <row r="278" spans="22:27">
      <c r="V278" s="816">
        <v>119</v>
      </c>
      <c r="W278" s="223" t="s">
        <v>142</v>
      </c>
      <c r="X278" s="21" t="str">
        <f t="shared" si="14"/>
        <v/>
      </c>
      <c r="Y278" s="21" t="str">
        <f t="shared" si="13"/>
        <v/>
      </c>
      <c r="Z278" s="21" t="str">
        <f t="shared" si="13"/>
        <v/>
      </c>
      <c r="AA278" s="21">
        <f t="shared" si="13"/>
        <v>1</v>
      </c>
    </row>
    <row r="279" spans="22:27">
      <c r="V279" s="816">
        <v>120</v>
      </c>
      <c r="W279" s="223" t="s">
        <v>142</v>
      </c>
      <c r="X279" s="21" t="str">
        <f t="shared" si="14"/>
        <v/>
      </c>
      <c r="Y279" s="21" t="str">
        <f t="shared" si="13"/>
        <v/>
      </c>
      <c r="Z279" s="21" t="str">
        <f t="shared" si="13"/>
        <v/>
      </c>
      <c r="AA279" s="21">
        <f t="shared" si="13"/>
        <v>1</v>
      </c>
    </row>
    <row r="280" spans="22:27">
      <c r="V280" s="816">
        <v>121</v>
      </c>
      <c r="W280" s="223" t="s">
        <v>142</v>
      </c>
      <c r="X280" s="21" t="str">
        <f t="shared" si="14"/>
        <v/>
      </c>
      <c r="Y280" s="21" t="str">
        <f t="shared" si="13"/>
        <v/>
      </c>
      <c r="Z280" s="21" t="str">
        <f t="shared" si="13"/>
        <v/>
      </c>
      <c r="AA280" s="21">
        <f t="shared" si="13"/>
        <v>1</v>
      </c>
    </row>
    <row r="281" spans="22:27">
      <c r="V281" s="816">
        <v>122</v>
      </c>
      <c r="W281" s="223" t="s">
        <v>142</v>
      </c>
      <c r="X281" s="21" t="str">
        <f t="shared" si="14"/>
        <v/>
      </c>
      <c r="Y281" s="21" t="str">
        <f t="shared" si="13"/>
        <v/>
      </c>
      <c r="Z281" s="21" t="str">
        <f t="shared" si="13"/>
        <v/>
      </c>
      <c r="AA281" s="21">
        <f t="shared" si="13"/>
        <v>1</v>
      </c>
    </row>
    <row r="282" spans="22:27">
      <c r="V282" s="816">
        <v>123</v>
      </c>
      <c r="W282" s="223" t="s">
        <v>142</v>
      </c>
      <c r="X282" s="21" t="str">
        <f t="shared" si="14"/>
        <v/>
      </c>
      <c r="Y282" s="21" t="str">
        <f t="shared" si="13"/>
        <v/>
      </c>
      <c r="Z282" s="21" t="str">
        <f t="shared" si="13"/>
        <v/>
      </c>
      <c r="AA282" s="21">
        <f t="shared" si="13"/>
        <v>1</v>
      </c>
    </row>
    <row r="283" spans="22:27">
      <c r="V283" s="816">
        <v>124</v>
      </c>
      <c r="W283" s="223" t="s">
        <v>142</v>
      </c>
      <c r="X283" s="21" t="str">
        <f t="shared" si="14"/>
        <v/>
      </c>
      <c r="Y283" s="21" t="str">
        <f t="shared" si="13"/>
        <v/>
      </c>
      <c r="Z283" s="21" t="str">
        <f t="shared" si="13"/>
        <v/>
      </c>
      <c r="AA283" s="21">
        <f t="shared" si="13"/>
        <v>1</v>
      </c>
    </row>
    <row r="284" spans="22:27">
      <c r="V284" s="816">
        <v>125</v>
      </c>
      <c r="W284" s="223" t="s">
        <v>142</v>
      </c>
      <c r="X284" s="21" t="str">
        <f t="shared" si="14"/>
        <v/>
      </c>
      <c r="Y284" s="21" t="str">
        <f t="shared" si="13"/>
        <v/>
      </c>
      <c r="Z284" s="21" t="str">
        <f t="shared" si="13"/>
        <v/>
      </c>
      <c r="AA284" s="21">
        <f t="shared" si="13"/>
        <v>1</v>
      </c>
    </row>
    <row r="285" spans="22:27">
      <c r="V285" s="816">
        <v>126</v>
      </c>
      <c r="W285" s="223" t="s">
        <v>142</v>
      </c>
      <c r="X285" s="21" t="str">
        <f t="shared" si="14"/>
        <v/>
      </c>
      <c r="Y285" s="21" t="str">
        <f t="shared" si="13"/>
        <v/>
      </c>
      <c r="Z285" s="21" t="str">
        <f t="shared" si="13"/>
        <v/>
      </c>
      <c r="AA285" s="21">
        <f t="shared" si="13"/>
        <v>1</v>
      </c>
    </row>
    <row r="286" spans="22:27">
      <c r="V286" s="816">
        <v>127</v>
      </c>
      <c r="W286" s="223" t="s">
        <v>142</v>
      </c>
      <c r="X286" s="21" t="str">
        <f t="shared" si="14"/>
        <v/>
      </c>
      <c r="Y286" s="21" t="str">
        <f t="shared" si="13"/>
        <v/>
      </c>
      <c r="Z286" s="21" t="str">
        <f t="shared" si="13"/>
        <v/>
      </c>
      <c r="AA286" s="21">
        <f t="shared" si="13"/>
        <v>1</v>
      </c>
    </row>
    <row r="287" spans="22:27">
      <c r="V287" s="816">
        <v>128</v>
      </c>
      <c r="W287" s="223" t="s">
        <v>142</v>
      </c>
      <c r="X287" s="21" t="str">
        <f t="shared" si="14"/>
        <v/>
      </c>
      <c r="Y287" s="21" t="str">
        <f t="shared" si="13"/>
        <v/>
      </c>
      <c r="Z287" s="21" t="str">
        <f t="shared" si="13"/>
        <v/>
      </c>
      <c r="AA287" s="21">
        <f t="shared" si="13"/>
        <v>1</v>
      </c>
    </row>
    <row r="288" spans="22:27">
      <c r="V288" s="816">
        <v>129</v>
      </c>
      <c r="W288" s="223" t="s">
        <v>142</v>
      </c>
      <c r="X288" s="21" t="str">
        <f t="shared" si="14"/>
        <v/>
      </c>
      <c r="Y288" s="21" t="str">
        <f t="shared" si="13"/>
        <v/>
      </c>
      <c r="Z288" s="21" t="str">
        <f t="shared" si="13"/>
        <v/>
      </c>
      <c r="AA288" s="21">
        <f t="shared" si="13"/>
        <v>1</v>
      </c>
    </row>
    <row r="289" spans="22:27">
      <c r="V289" s="816">
        <v>130</v>
      </c>
      <c r="W289" s="223" t="s">
        <v>937</v>
      </c>
      <c r="X289" s="21" t="str">
        <f t="shared" si="14"/>
        <v/>
      </c>
      <c r="Y289" s="21" t="str">
        <f t="shared" si="13"/>
        <v/>
      </c>
      <c r="Z289" s="21">
        <f t="shared" si="13"/>
        <v>1</v>
      </c>
      <c r="AA289" s="21" t="str">
        <f t="shared" si="13"/>
        <v/>
      </c>
    </row>
    <row r="290" spans="22:27">
      <c r="V290" s="816">
        <v>131</v>
      </c>
      <c r="W290" s="223" t="s">
        <v>937</v>
      </c>
      <c r="X290" s="21" t="str">
        <f t="shared" si="14"/>
        <v/>
      </c>
      <c r="Y290" s="21" t="str">
        <f t="shared" si="13"/>
        <v/>
      </c>
      <c r="Z290" s="21">
        <f t="shared" si="13"/>
        <v>1</v>
      </c>
      <c r="AA290" s="21" t="str">
        <f t="shared" si="13"/>
        <v/>
      </c>
    </row>
    <row r="291" spans="22:27">
      <c r="V291" s="816">
        <v>132</v>
      </c>
      <c r="W291" s="223" t="s">
        <v>935</v>
      </c>
      <c r="X291" s="21">
        <f t="shared" si="14"/>
        <v>1</v>
      </c>
      <c r="Y291" s="21" t="str">
        <f t="shared" si="13"/>
        <v/>
      </c>
      <c r="Z291" s="21" t="str">
        <f t="shared" si="13"/>
        <v/>
      </c>
      <c r="AA291" s="21" t="str">
        <f t="shared" si="13"/>
        <v/>
      </c>
    </row>
    <row r="292" spans="22:27">
      <c r="V292" s="816">
        <v>133</v>
      </c>
      <c r="W292" s="223" t="s">
        <v>935</v>
      </c>
      <c r="X292" s="21">
        <f t="shared" si="14"/>
        <v>1</v>
      </c>
      <c r="Y292" s="21" t="str">
        <f t="shared" si="13"/>
        <v/>
      </c>
      <c r="Z292" s="21" t="str">
        <f t="shared" si="13"/>
        <v/>
      </c>
      <c r="AA292" s="21" t="str">
        <f t="shared" si="13"/>
        <v/>
      </c>
    </row>
    <row r="293" spans="22:27">
      <c r="V293" s="816">
        <v>134</v>
      </c>
      <c r="W293" s="223" t="s">
        <v>935</v>
      </c>
      <c r="X293" s="21">
        <f t="shared" si="14"/>
        <v>1</v>
      </c>
      <c r="Y293" s="21" t="str">
        <f t="shared" si="13"/>
        <v/>
      </c>
      <c r="Z293" s="21" t="str">
        <f t="shared" si="13"/>
        <v/>
      </c>
      <c r="AA293" s="21" t="str">
        <f t="shared" si="13"/>
        <v/>
      </c>
    </row>
    <row r="294" spans="22:27">
      <c r="V294" s="816">
        <v>135</v>
      </c>
      <c r="W294" s="223" t="s">
        <v>935</v>
      </c>
      <c r="X294" s="21">
        <f t="shared" si="14"/>
        <v>1</v>
      </c>
      <c r="Y294" s="21" t="str">
        <f t="shared" si="13"/>
        <v/>
      </c>
      <c r="Z294" s="21" t="str">
        <f t="shared" si="13"/>
        <v/>
      </c>
      <c r="AA294" s="21" t="str">
        <f t="shared" si="13"/>
        <v/>
      </c>
    </row>
    <row r="295" spans="22:27">
      <c r="V295" s="816">
        <v>136</v>
      </c>
      <c r="W295" s="223" t="s">
        <v>935</v>
      </c>
      <c r="X295" s="21">
        <f t="shared" si="14"/>
        <v>1</v>
      </c>
      <c r="Y295" s="21" t="str">
        <f t="shared" si="13"/>
        <v/>
      </c>
      <c r="Z295" s="21" t="str">
        <f t="shared" si="13"/>
        <v/>
      </c>
      <c r="AA295" s="21" t="str">
        <f t="shared" si="13"/>
        <v/>
      </c>
    </row>
    <row r="296" spans="22:27">
      <c r="V296" s="816">
        <v>137</v>
      </c>
      <c r="W296" s="223" t="s">
        <v>935</v>
      </c>
      <c r="X296" s="21">
        <f t="shared" ref="X296:X327" si="15">IF($W296=X$4,1,"")</f>
        <v>1</v>
      </c>
      <c r="Y296" s="21" t="str">
        <f t="shared" si="13"/>
        <v/>
      </c>
      <c r="Z296" s="21" t="str">
        <f t="shared" si="13"/>
        <v/>
      </c>
      <c r="AA296" s="21" t="str">
        <f t="shared" si="13"/>
        <v/>
      </c>
    </row>
    <row r="297" spans="22:27">
      <c r="V297" s="816">
        <v>138</v>
      </c>
      <c r="W297" s="223" t="s">
        <v>935</v>
      </c>
      <c r="X297" s="21">
        <f t="shared" si="15"/>
        <v>1</v>
      </c>
      <c r="Y297" s="21" t="str">
        <f t="shared" si="13"/>
        <v/>
      </c>
      <c r="Z297" s="21" t="str">
        <f t="shared" si="13"/>
        <v/>
      </c>
      <c r="AA297" s="21" t="str">
        <f t="shared" si="13"/>
        <v/>
      </c>
    </row>
    <row r="298" spans="22:27">
      <c r="V298" s="816">
        <v>139</v>
      </c>
      <c r="W298" s="223" t="s">
        <v>935</v>
      </c>
      <c r="X298" s="21">
        <f t="shared" si="15"/>
        <v>1</v>
      </c>
      <c r="Y298" s="21" t="str">
        <f t="shared" si="13"/>
        <v/>
      </c>
      <c r="Z298" s="21" t="str">
        <f t="shared" si="13"/>
        <v/>
      </c>
      <c r="AA298" s="21" t="str">
        <f t="shared" si="13"/>
        <v/>
      </c>
    </row>
    <row r="299" spans="22:27">
      <c r="V299" s="816">
        <v>140</v>
      </c>
      <c r="W299" s="223" t="s">
        <v>935</v>
      </c>
      <c r="X299" s="21">
        <f t="shared" si="15"/>
        <v>1</v>
      </c>
      <c r="Y299" s="21" t="str">
        <f t="shared" si="13"/>
        <v/>
      </c>
      <c r="Z299" s="21" t="str">
        <f t="shared" si="13"/>
        <v/>
      </c>
      <c r="AA299" s="21" t="str">
        <f t="shared" si="13"/>
        <v/>
      </c>
    </row>
    <row r="300" spans="22:27">
      <c r="V300" s="816">
        <v>141</v>
      </c>
      <c r="W300" s="223" t="s">
        <v>935</v>
      </c>
      <c r="X300" s="21">
        <f t="shared" si="15"/>
        <v>1</v>
      </c>
      <c r="Y300" s="21" t="str">
        <f t="shared" si="13"/>
        <v/>
      </c>
      <c r="Z300" s="21" t="str">
        <f t="shared" si="13"/>
        <v/>
      </c>
      <c r="AA300" s="21" t="str">
        <f t="shared" si="13"/>
        <v/>
      </c>
    </row>
    <row r="301" spans="22:27">
      <c r="V301" s="816">
        <v>142</v>
      </c>
      <c r="W301" s="223" t="s">
        <v>935</v>
      </c>
      <c r="X301" s="21">
        <f t="shared" si="15"/>
        <v>1</v>
      </c>
      <c r="Y301" s="21" t="str">
        <f t="shared" si="13"/>
        <v/>
      </c>
      <c r="Z301" s="21" t="str">
        <f t="shared" si="13"/>
        <v/>
      </c>
      <c r="AA301" s="21" t="str">
        <f t="shared" si="13"/>
        <v/>
      </c>
    </row>
    <row r="302" spans="22:27">
      <c r="V302" s="816">
        <v>143</v>
      </c>
      <c r="W302" s="223" t="s">
        <v>935</v>
      </c>
      <c r="X302" s="21">
        <f t="shared" si="15"/>
        <v>1</v>
      </c>
      <c r="Y302" s="21" t="str">
        <f t="shared" si="13"/>
        <v/>
      </c>
      <c r="Z302" s="21" t="str">
        <f t="shared" si="13"/>
        <v/>
      </c>
      <c r="AA302" s="21" t="str">
        <f t="shared" si="13"/>
        <v/>
      </c>
    </row>
    <row r="303" spans="22:27">
      <c r="V303" s="816">
        <v>144</v>
      </c>
      <c r="W303" s="223" t="s">
        <v>935</v>
      </c>
      <c r="X303" s="21">
        <f t="shared" si="15"/>
        <v>1</v>
      </c>
      <c r="Y303" s="21" t="str">
        <f t="shared" si="13"/>
        <v/>
      </c>
      <c r="Z303" s="21" t="str">
        <f t="shared" si="13"/>
        <v/>
      </c>
      <c r="AA303" s="21" t="str">
        <f t="shared" si="13"/>
        <v/>
      </c>
    </row>
    <row r="304" spans="22:27">
      <c r="V304" s="816">
        <v>145</v>
      </c>
      <c r="W304" s="223" t="s">
        <v>935</v>
      </c>
      <c r="X304" s="21">
        <f t="shared" si="15"/>
        <v>1</v>
      </c>
      <c r="Y304" s="21" t="str">
        <f t="shared" si="13"/>
        <v/>
      </c>
      <c r="Z304" s="21" t="str">
        <f t="shared" si="13"/>
        <v/>
      </c>
      <c r="AA304" s="21" t="str">
        <f t="shared" si="13"/>
        <v/>
      </c>
    </row>
    <row r="305" spans="22:27">
      <c r="V305" s="816">
        <v>146</v>
      </c>
      <c r="W305" s="223" t="s">
        <v>936</v>
      </c>
      <c r="X305" s="21" t="str">
        <f t="shared" si="15"/>
        <v/>
      </c>
      <c r="Y305" s="21">
        <f t="shared" si="13"/>
        <v>1</v>
      </c>
      <c r="Z305" s="21" t="str">
        <f t="shared" si="13"/>
        <v/>
      </c>
      <c r="AA305" s="21" t="str">
        <f t="shared" si="13"/>
        <v/>
      </c>
    </row>
    <row r="306" spans="22:27">
      <c r="V306" s="816">
        <v>147</v>
      </c>
      <c r="W306" s="223" t="s">
        <v>936</v>
      </c>
      <c r="X306" s="21" t="str">
        <f t="shared" si="15"/>
        <v/>
      </c>
      <c r="Y306" s="21">
        <f t="shared" si="13"/>
        <v>1</v>
      </c>
      <c r="Z306" s="21" t="str">
        <f t="shared" si="13"/>
        <v/>
      </c>
      <c r="AA306" s="21" t="str">
        <f t="shared" si="13"/>
        <v/>
      </c>
    </row>
    <row r="307" spans="22:27">
      <c r="V307" s="816">
        <v>148</v>
      </c>
      <c r="W307" s="223" t="s">
        <v>936</v>
      </c>
      <c r="X307" s="21" t="str">
        <f t="shared" si="15"/>
        <v/>
      </c>
      <c r="Y307" s="21">
        <f t="shared" si="13"/>
        <v>1</v>
      </c>
      <c r="Z307" s="21" t="str">
        <f t="shared" si="13"/>
        <v/>
      </c>
      <c r="AA307" s="21" t="str">
        <f t="shared" si="13"/>
        <v/>
      </c>
    </row>
    <row r="308" spans="22:27">
      <c r="V308" s="816">
        <v>149</v>
      </c>
      <c r="W308" s="223" t="s">
        <v>936</v>
      </c>
      <c r="X308" s="21" t="str">
        <f t="shared" si="15"/>
        <v/>
      </c>
      <c r="Y308" s="21">
        <f t="shared" si="13"/>
        <v>1</v>
      </c>
      <c r="Z308" s="21" t="str">
        <f t="shared" si="13"/>
        <v/>
      </c>
      <c r="AA308" s="21" t="str">
        <f t="shared" si="13"/>
        <v/>
      </c>
    </row>
    <row r="309" spans="22:27">
      <c r="V309" s="816">
        <v>150</v>
      </c>
      <c r="W309" s="223" t="s">
        <v>936</v>
      </c>
      <c r="X309" s="21" t="str">
        <f t="shared" si="15"/>
        <v/>
      </c>
      <c r="Y309" s="21">
        <f t="shared" si="13"/>
        <v>1</v>
      </c>
      <c r="Z309" s="21" t="str">
        <f t="shared" si="13"/>
        <v/>
      </c>
      <c r="AA309" s="21" t="str">
        <f t="shared" si="13"/>
        <v/>
      </c>
    </row>
    <row r="310" spans="22:27">
      <c r="V310" s="816">
        <v>151</v>
      </c>
      <c r="W310" s="223" t="s">
        <v>936</v>
      </c>
      <c r="X310" s="21" t="str">
        <f t="shared" si="15"/>
        <v/>
      </c>
      <c r="Y310" s="21">
        <f t="shared" si="13"/>
        <v>1</v>
      </c>
      <c r="Z310" s="21" t="str">
        <f t="shared" si="13"/>
        <v/>
      </c>
      <c r="AA310" s="21" t="str">
        <f t="shared" si="13"/>
        <v/>
      </c>
    </row>
    <row r="311" spans="22:27">
      <c r="V311" s="816">
        <v>152</v>
      </c>
      <c r="W311" s="223" t="s">
        <v>936</v>
      </c>
      <c r="X311" s="21" t="str">
        <f t="shared" si="15"/>
        <v/>
      </c>
      <c r="Y311" s="21">
        <f t="shared" si="13"/>
        <v>1</v>
      </c>
      <c r="Z311" s="21" t="str">
        <f t="shared" si="13"/>
        <v/>
      </c>
      <c r="AA311" s="21" t="str">
        <f t="shared" si="13"/>
        <v/>
      </c>
    </row>
    <row r="312" spans="22:27">
      <c r="V312" s="816">
        <v>153</v>
      </c>
      <c r="W312" s="223" t="s">
        <v>936</v>
      </c>
      <c r="X312" s="21" t="str">
        <f t="shared" si="15"/>
        <v/>
      </c>
      <c r="Y312" s="21">
        <f t="shared" si="13"/>
        <v>1</v>
      </c>
      <c r="Z312" s="21" t="str">
        <f t="shared" si="13"/>
        <v/>
      </c>
      <c r="AA312" s="21" t="str">
        <f t="shared" si="13"/>
        <v/>
      </c>
    </row>
    <row r="313" spans="22:27">
      <c r="V313" s="816">
        <v>154</v>
      </c>
      <c r="W313" s="223" t="s">
        <v>936</v>
      </c>
      <c r="X313" s="21" t="str">
        <f t="shared" si="15"/>
        <v/>
      </c>
      <c r="Y313" s="21">
        <f t="shared" si="13"/>
        <v>1</v>
      </c>
      <c r="Z313" s="21" t="str">
        <f t="shared" si="13"/>
        <v/>
      </c>
      <c r="AA313" s="21" t="str">
        <f t="shared" si="13"/>
        <v/>
      </c>
    </row>
    <row r="314" spans="22:27">
      <c r="V314" s="816">
        <v>155</v>
      </c>
      <c r="W314" s="223" t="s">
        <v>936</v>
      </c>
      <c r="X314" s="21" t="str">
        <f t="shared" si="15"/>
        <v/>
      </c>
      <c r="Y314" s="21">
        <f t="shared" si="13"/>
        <v>1</v>
      </c>
      <c r="Z314" s="21" t="str">
        <f t="shared" si="13"/>
        <v/>
      </c>
      <c r="AA314" s="21" t="str">
        <f t="shared" si="13"/>
        <v/>
      </c>
    </row>
    <row r="315" spans="22:27">
      <c r="V315" s="816">
        <v>156</v>
      </c>
      <c r="W315" s="223" t="s">
        <v>935</v>
      </c>
      <c r="X315" s="21">
        <f t="shared" si="15"/>
        <v>1</v>
      </c>
      <c r="Y315" s="21" t="str">
        <f t="shared" si="13"/>
        <v/>
      </c>
      <c r="Z315" s="21" t="str">
        <f t="shared" si="13"/>
        <v/>
      </c>
      <c r="AA315" s="21" t="str">
        <f t="shared" si="13"/>
        <v/>
      </c>
    </row>
    <row r="316" spans="22:27">
      <c r="V316" s="816">
        <v>157</v>
      </c>
      <c r="W316" s="223" t="s">
        <v>935</v>
      </c>
      <c r="X316" s="21">
        <f t="shared" si="15"/>
        <v>1</v>
      </c>
      <c r="Y316" s="21" t="str">
        <f t="shared" si="13"/>
        <v/>
      </c>
      <c r="Z316" s="21" t="str">
        <f t="shared" si="13"/>
        <v/>
      </c>
      <c r="AA316" s="21" t="str">
        <f t="shared" si="13"/>
        <v/>
      </c>
    </row>
    <row r="317" spans="22:27">
      <c r="V317" s="816">
        <v>158</v>
      </c>
      <c r="W317" s="223" t="s">
        <v>935</v>
      </c>
      <c r="X317" s="21">
        <f t="shared" si="15"/>
        <v>1</v>
      </c>
      <c r="Y317" s="21" t="str">
        <f t="shared" si="13"/>
        <v/>
      </c>
      <c r="Z317" s="21" t="str">
        <f t="shared" si="13"/>
        <v/>
      </c>
      <c r="AA317" s="21" t="str">
        <f t="shared" si="13"/>
        <v/>
      </c>
    </row>
    <row r="318" spans="22:27">
      <c r="V318" s="816">
        <v>159</v>
      </c>
      <c r="W318" s="223" t="s">
        <v>935</v>
      </c>
      <c r="X318" s="21">
        <f t="shared" si="15"/>
        <v>1</v>
      </c>
      <c r="Y318" s="21" t="str">
        <f t="shared" si="13"/>
        <v/>
      </c>
      <c r="Z318" s="21" t="str">
        <f t="shared" si="13"/>
        <v/>
      </c>
      <c r="AA318" s="21" t="str">
        <f t="shared" si="13"/>
        <v/>
      </c>
    </row>
    <row r="319" spans="22:27">
      <c r="V319" s="816">
        <v>160</v>
      </c>
      <c r="W319" s="223" t="s">
        <v>935</v>
      </c>
      <c r="X319" s="21">
        <f t="shared" si="15"/>
        <v>1</v>
      </c>
      <c r="Y319" s="21" t="str">
        <f t="shared" si="13"/>
        <v/>
      </c>
      <c r="Z319" s="21" t="str">
        <f t="shared" si="13"/>
        <v/>
      </c>
      <c r="AA319" s="21" t="str">
        <f t="shared" si="13"/>
        <v/>
      </c>
    </row>
    <row r="320" spans="22:27">
      <c r="V320" s="816">
        <v>161</v>
      </c>
      <c r="W320" s="223" t="s">
        <v>935</v>
      </c>
      <c r="X320" s="21">
        <f t="shared" si="15"/>
        <v>1</v>
      </c>
      <c r="Y320" s="21" t="str">
        <f t="shared" si="13"/>
        <v/>
      </c>
      <c r="Z320" s="21" t="str">
        <f t="shared" si="13"/>
        <v/>
      </c>
      <c r="AA320" s="21" t="str">
        <f t="shared" si="13"/>
        <v/>
      </c>
    </row>
    <row r="321" spans="22:27">
      <c r="V321" s="816">
        <v>162</v>
      </c>
      <c r="W321" s="223" t="s">
        <v>935</v>
      </c>
      <c r="X321" s="21">
        <f t="shared" si="15"/>
        <v>1</v>
      </c>
      <c r="Y321" s="21" t="str">
        <f t="shared" si="13"/>
        <v/>
      </c>
      <c r="Z321" s="21" t="str">
        <f t="shared" si="13"/>
        <v/>
      </c>
      <c r="AA321" s="21" t="str">
        <f t="shared" si="13"/>
        <v/>
      </c>
    </row>
    <row r="322" spans="22:27">
      <c r="V322" s="816">
        <v>163</v>
      </c>
      <c r="W322" s="223" t="s">
        <v>935</v>
      </c>
      <c r="X322" s="21">
        <f t="shared" si="15"/>
        <v>1</v>
      </c>
      <c r="Y322" s="21" t="str">
        <f t="shared" si="13"/>
        <v/>
      </c>
      <c r="Z322" s="21" t="str">
        <f t="shared" si="13"/>
        <v/>
      </c>
      <c r="AA322" s="21" t="str">
        <f t="shared" si="13"/>
        <v/>
      </c>
    </row>
    <row r="323" spans="22:27">
      <c r="V323" s="816">
        <v>164</v>
      </c>
      <c r="W323" s="223" t="s">
        <v>935</v>
      </c>
      <c r="X323" s="21">
        <f t="shared" si="15"/>
        <v>1</v>
      </c>
      <c r="Y323" s="21" t="str">
        <f t="shared" si="13"/>
        <v/>
      </c>
      <c r="Z323" s="21" t="str">
        <f t="shared" si="13"/>
        <v/>
      </c>
      <c r="AA323" s="21" t="str">
        <f t="shared" si="13"/>
        <v/>
      </c>
    </row>
    <row r="324" spans="22:27">
      <c r="V324" s="816">
        <v>165</v>
      </c>
      <c r="W324" s="223" t="s">
        <v>935</v>
      </c>
      <c r="X324" s="21">
        <f t="shared" si="15"/>
        <v>1</v>
      </c>
      <c r="Y324" s="21" t="str">
        <f t="shared" si="13"/>
        <v/>
      </c>
      <c r="Z324" s="21" t="str">
        <f t="shared" si="13"/>
        <v/>
      </c>
      <c r="AA324" s="21" t="str">
        <f t="shared" si="13"/>
        <v/>
      </c>
    </row>
    <row r="325" spans="22:27">
      <c r="V325" s="816">
        <v>166</v>
      </c>
      <c r="W325" s="223" t="s">
        <v>935</v>
      </c>
      <c r="X325" s="21">
        <f t="shared" si="15"/>
        <v>1</v>
      </c>
      <c r="Y325" s="21" t="str">
        <f t="shared" si="13"/>
        <v/>
      </c>
      <c r="Z325" s="21" t="str">
        <f t="shared" si="13"/>
        <v/>
      </c>
      <c r="AA325" s="21" t="str">
        <f t="shared" si="13"/>
        <v/>
      </c>
    </row>
    <row r="326" spans="22:27">
      <c r="V326" s="816">
        <v>167</v>
      </c>
      <c r="W326" s="223" t="s">
        <v>935</v>
      </c>
      <c r="X326" s="21">
        <f t="shared" si="15"/>
        <v>1</v>
      </c>
      <c r="Y326" s="21" t="str">
        <f t="shared" si="13"/>
        <v/>
      </c>
      <c r="Z326" s="21" t="str">
        <f t="shared" si="13"/>
        <v/>
      </c>
      <c r="AA326" s="21" t="str">
        <f t="shared" si="13"/>
        <v/>
      </c>
    </row>
    <row r="327" spans="22:27">
      <c r="V327" s="816">
        <v>168</v>
      </c>
      <c r="W327" s="223" t="s">
        <v>935</v>
      </c>
      <c r="X327" s="21">
        <f t="shared" si="15"/>
        <v>1</v>
      </c>
      <c r="Y327" s="21" t="str">
        <f>IF($W327=Y$4,1,"")</f>
        <v/>
      </c>
      <c r="Z327" s="21" t="str">
        <f>IF($W327=Z$4,1,"")</f>
        <v/>
      </c>
      <c r="AA327" s="21" t="str">
        <f>IF($W327=AA$4,1,"")</f>
        <v/>
      </c>
    </row>
    <row r="328" spans="22:27">
      <c r="V328" s="816">
        <v>169</v>
      </c>
      <c r="W328" s="223" t="s">
        <v>936</v>
      </c>
      <c r="X328" s="21" t="str">
        <f t="shared" ref="X328:AA359" si="16">IF($W328=X$4,1,"")</f>
        <v/>
      </c>
      <c r="Y328" s="21">
        <f t="shared" si="16"/>
        <v>1</v>
      </c>
      <c r="Z328" s="21" t="str">
        <f t="shared" si="16"/>
        <v/>
      </c>
      <c r="AA328" s="21" t="str">
        <f t="shared" si="16"/>
        <v/>
      </c>
    </row>
    <row r="329" spans="22:27">
      <c r="V329" s="816">
        <v>170</v>
      </c>
      <c r="W329" s="223" t="s">
        <v>936</v>
      </c>
      <c r="X329" s="21" t="str">
        <f t="shared" si="16"/>
        <v/>
      </c>
      <c r="Y329" s="21">
        <f t="shared" si="16"/>
        <v>1</v>
      </c>
      <c r="Z329" s="21" t="str">
        <f t="shared" si="16"/>
        <v/>
      </c>
      <c r="AA329" s="21" t="str">
        <f t="shared" si="16"/>
        <v/>
      </c>
    </row>
    <row r="330" spans="22:27">
      <c r="V330" s="816">
        <v>171</v>
      </c>
      <c r="W330" s="223" t="s">
        <v>936</v>
      </c>
      <c r="X330" s="21" t="str">
        <f t="shared" si="16"/>
        <v/>
      </c>
      <c r="Y330" s="21">
        <f t="shared" si="16"/>
        <v>1</v>
      </c>
      <c r="Z330" s="21" t="str">
        <f t="shared" si="16"/>
        <v/>
      </c>
      <c r="AA330" s="21" t="str">
        <f t="shared" si="16"/>
        <v/>
      </c>
    </row>
    <row r="331" spans="22:27">
      <c r="V331" s="816"/>
      <c r="W331" s="223"/>
      <c r="X331" s="21" t="str">
        <f t="shared" si="16"/>
        <v/>
      </c>
      <c r="Y331" s="21" t="str">
        <f t="shared" si="16"/>
        <v/>
      </c>
      <c r="Z331" s="21" t="str">
        <f t="shared" si="16"/>
        <v/>
      </c>
      <c r="AA331" s="21" t="str">
        <f t="shared" si="16"/>
        <v/>
      </c>
    </row>
    <row r="332" spans="22:27">
      <c r="V332" s="816"/>
      <c r="W332" s="223"/>
      <c r="X332" s="21" t="str">
        <f t="shared" si="16"/>
        <v/>
      </c>
      <c r="Y332" s="21" t="str">
        <f t="shared" si="16"/>
        <v/>
      </c>
      <c r="Z332" s="21" t="str">
        <f t="shared" si="16"/>
        <v/>
      </c>
      <c r="AA332" s="21" t="str">
        <f t="shared" si="16"/>
        <v/>
      </c>
    </row>
    <row r="333" spans="22:27">
      <c r="V333" s="816"/>
      <c r="W333" s="223"/>
      <c r="X333" s="21" t="str">
        <f t="shared" si="16"/>
        <v/>
      </c>
      <c r="Y333" s="21" t="str">
        <f t="shared" si="16"/>
        <v/>
      </c>
      <c r="Z333" s="21" t="str">
        <f t="shared" si="16"/>
        <v/>
      </c>
      <c r="AA333" s="21" t="str">
        <f t="shared" si="16"/>
        <v/>
      </c>
    </row>
    <row r="334" spans="22:27">
      <c r="V334" s="816"/>
      <c r="W334" s="223"/>
      <c r="X334" s="21" t="str">
        <f t="shared" si="16"/>
        <v/>
      </c>
      <c r="Y334" s="21" t="str">
        <f t="shared" si="16"/>
        <v/>
      </c>
      <c r="Z334" s="21" t="str">
        <f t="shared" si="16"/>
        <v/>
      </c>
      <c r="AA334" s="21" t="str">
        <f t="shared" si="16"/>
        <v/>
      </c>
    </row>
    <row r="335" spans="22:27">
      <c r="V335" s="816" t="s">
        <v>940</v>
      </c>
      <c r="W335" s="223"/>
      <c r="X335" s="21" t="str">
        <f t="shared" si="16"/>
        <v/>
      </c>
      <c r="Y335" s="21" t="str">
        <f t="shared" si="16"/>
        <v/>
      </c>
      <c r="Z335" s="21" t="str">
        <f t="shared" si="16"/>
        <v/>
      </c>
      <c r="AA335" s="21" t="str">
        <f t="shared" si="16"/>
        <v/>
      </c>
    </row>
    <row r="336" spans="22:27">
      <c r="V336" s="816">
        <v>1</v>
      </c>
      <c r="W336" s="223" t="s">
        <v>935</v>
      </c>
      <c r="X336" s="21">
        <f t="shared" si="16"/>
        <v>1</v>
      </c>
      <c r="Y336" s="21" t="str">
        <f t="shared" si="16"/>
        <v/>
      </c>
      <c r="Z336" s="21" t="str">
        <f t="shared" si="16"/>
        <v/>
      </c>
      <c r="AA336" s="21" t="str">
        <f t="shared" si="16"/>
        <v/>
      </c>
    </row>
    <row r="337" spans="22:27">
      <c r="V337" s="816">
        <v>2</v>
      </c>
      <c r="W337" s="223" t="s">
        <v>935</v>
      </c>
      <c r="X337" s="21">
        <f t="shared" si="16"/>
        <v>1</v>
      </c>
      <c r="Y337" s="21" t="str">
        <f t="shared" si="16"/>
        <v/>
      </c>
      <c r="Z337" s="21" t="str">
        <f t="shared" si="16"/>
        <v/>
      </c>
      <c r="AA337" s="21" t="str">
        <f t="shared" si="16"/>
        <v/>
      </c>
    </row>
    <row r="338" spans="22:27">
      <c r="V338" s="816">
        <v>3</v>
      </c>
      <c r="W338" s="223" t="s">
        <v>935</v>
      </c>
      <c r="X338" s="21">
        <f t="shared" si="16"/>
        <v>1</v>
      </c>
      <c r="Y338" s="21" t="str">
        <f t="shared" si="16"/>
        <v/>
      </c>
      <c r="Z338" s="21" t="str">
        <f t="shared" si="16"/>
        <v/>
      </c>
      <c r="AA338" s="21" t="str">
        <f t="shared" si="16"/>
        <v/>
      </c>
    </row>
    <row r="339" spans="22:27">
      <c r="V339" s="816">
        <v>4</v>
      </c>
      <c r="W339" s="223" t="s">
        <v>935</v>
      </c>
      <c r="X339" s="21">
        <f t="shared" si="16"/>
        <v>1</v>
      </c>
      <c r="Y339" s="21" t="str">
        <f t="shared" si="16"/>
        <v/>
      </c>
      <c r="Z339" s="21" t="str">
        <f t="shared" si="16"/>
        <v/>
      </c>
      <c r="AA339" s="21" t="str">
        <f t="shared" si="16"/>
        <v/>
      </c>
    </row>
    <row r="340" spans="22:27">
      <c r="V340" s="816">
        <v>5</v>
      </c>
      <c r="W340" s="223" t="s">
        <v>935</v>
      </c>
      <c r="X340" s="21">
        <f t="shared" si="16"/>
        <v>1</v>
      </c>
      <c r="Y340" s="21" t="str">
        <f t="shared" si="16"/>
        <v/>
      </c>
      <c r="Z340" s="21" t="str">
        <f t="shared" si="16"/>
        <v/>
      </c>
      <c r="AA340" s="21" t="str">
        <f t="shared" si="16"/>
        <v/>
      </c>
    </row>
    <row r="341" spans="22:27">
      <c r="V341" s="816">
        <v>6</v>
      </c>
      <c r="W341" s="223" t="s">
        <v>935</v>
      </c>
      <c r="X341" s="21">
        <f t="shared" si="16"/>
        <v>1</v>
      </c>
      <c r="Y341" s="21" t="str">
        <f t="shared" si="16"/>
        <v/>
      </c>
      <c r="Z341" s="21" t="str">
        <f t="shared" si="16"/>
        <v/>
      </c>
      <c r="AA341" s="21" t="str">
        <f t="shared" si="16"/>
        <v/>
      </c>
    </row>
    <row r="342" spans="22:27">
      <c r="V342" s="816">
        <v>7</v>
      </c>
      <c r="W342" s="223" t="s">
        <v>935</v>
      </c>
      <c r="X342" s="21">
        <f t="shared" si="16"/>
        <v>1</v>
      </c>
      <c r="Y342" s="21" t="str">
        <f t="shared" si="16"/>
        <v/>
      </c>
      <c r="Z342" s="21" t="str">
        <f t="shared" si="16"/>
        <v/>
      </c>
      <c r="AA342" s="21" t="str">
        <f t="shared" si="16"/>
        <v/>
      </c>
    </row>
    <row r="343" spans="22:27">
      <c r="V343" s="816">
        <v>8</v>
      </c>
      <c r="W343" s="223" t="s">
        <v>935</v>
      </c>
      <c r="X343" s="21">
        <f t="shared" si="16"/>
        <v>1</v>
      </c>
      <c r="Y343" s="21" t="str">
        <f t="shared" si="16"/>
        <v/>
      </c>
      <c r="Z343" s="21" t="str">
        <f t="shared" si="16"/>
        <v/>
      </c>
      <c r="AA343" s="21" t="str">
        <f t="shared" si="16"/>
        <v/>
      </c>
    </row>
    <row r="344" spans="22:27">
      <c r="V344" s="816">
        <v>9</v>
      </c>
      <c r="W344" s="223" t="s">
        <v>935</v>
      </c>
      <c r="X344" s="21">
        <f t="shared" si="16"/>
        <v>1</v>
      </c>
      <c r="Y344" s="21" t="str">
        <f t="shared" si="16"/>
        <v/>
      </c>
      <c r="Z344" s="21" t="str">
        <f t="shared" si="16"/>
        <v/>
      </c>
      <c r="AA344" s="21" t="str">
        <f t="shared" si="16"/>
        <v/>
      </c>
    </row>
    <row r="345" spans="22:27">
      <c r="V345" s="816">
        <v>10</v>
      </c>
      <c r="W345" s="223" t="s">
        <v>935</v>
      </c>
      <c r="X345" s="21">
        <f t="shared" si="16"/>
        <v>1</v>
      </c>
      <c r="Y345" s="21" t="str">
        <f t="shared" si="16"/>
        <v/>
      </c>
      <c r="Z345" s="21" t="str">
        <f t="shared" si="16"/>
        <v/>
      </c>
      <c r="AA345" s="21" t="str">
        <f t="shared" si="16"/>
        <v/>
      </c>
    </row>
    <row r="346" spans="22:27">
      <c r="V346" s="816">
        <v>11</v>
      </c>
      <c r="W346" s="223" t="s">
        <v>935</v>
      </c>
      <c r="X346" s="21">
        <f t="shared" si="16"/>
        <v>1</v>
      </c>
      <c r="Y346" s="21" t="str">
        <f t="shared" si="16"/>
        <v/>
      </c>
      <c r="Z346" s="21" t="str">
        <f t="shared" si="16"/>
        <v/>
      </c>
      <c r="AA346" s="21" t="str">
        <f t="shared" si="16"/>
        <v/>
      </c>
    </row>
    <row r="347" spans="22:27">
      <c r="V347" s="816">
        <v>12</v>
      </c>
      <c r="W347" s="223" t="s">
        <v>935</v>
      </c>
      <c r="X347" s="21">
        <f t="shared" si="16"/>
        <v>1</v>
      </c>
      <c r="Y347" s="21" t="str">
        <f t="shared" si="16"/>
        <v/>
      </c>
      <c r="Z347" s="21" t="str">
        <f t="shared" si="16"/>
        <v/>
      </c>
      <c r="AA347" s="21" t="str">
        <f t="shared" si="16"/>
        <v/>
      </c>
    </row>
    <row r="348" spans="22:27">
      <c r="V348" s="816">
        <v>13</v>
      </c>
      <c r="W348" s="223" t="s">
        <v>935</v>
      </c>
      <c r="X348" s="21">
        <f t="shared" si="16"/>
        <v>1</v>
      </c>
      <c r="Y348" s="21" t="str">
        <f t="shared" si="16"/>
        <v/>
      </c>
      <c r="Z348" s="21" t="str">
        <f t="shared" si="16"/>
        <v/>
      </c>
      <c r="AA348" s="21" t="str">
        <f t="shared" si="16"/>
        <v/>
      </c>
    </row>
    <row r="349" spans="22:27">
      <c r="V349" s="816">
        <v>14</v>
      </c>
      <c r="W349" s="223" t="s">
        <v>935</v>
      </c>
      <c r="X349" s="21">
        <f t="shared" si="16"/>
        <v>1</v>
      </c>
      <c r="Y349" s="21" t="str">
        <f t="shared" si="16"/>
        <v/>
      </c>
      <c r="Z349" s="21" t="str">
        <f t="shared" si="16"/>
        <v/>
      </c>
      <c r="AA349" s="21" t="str">
        <f t="shared" si="16"/>
        <v/>
      </c>
    </row>
    <row r="350" spans="22:27">
      <c r="V350" s="816">
        <v>15</v>
      </c>
      <c r="W350" s="223" t="s">
        <v>935</v>
      </c>
      <c r="X350" s="21">
        <f t="shared" si="16"/>
        <v>1</v>
      </c>
      <c r="Y350" s="21" t="str">
        <f t="shared" si="16"/>
        <v/>
      </c>
      <c r="Z350" s="21" t="str">
        <f t="shared" si="16"/>
        <v/>
      </c>
      <c r="AA350" s="21" t="str">
        <f t="shared" si="16"/>
        <v/>
      </c>
    </row>
    <row r="351" spans="22:27">
      <c r="V351" s="816">
        <v>16</v>
      </c>
      <c r="W351" s="223" t="s">
        <v>936</v>
      </c>
      <c r="X351" s="21" t="str">
        <f t="shared" si="16"/>
        <v/>
      </c>
      <c r="Y351" s="21">
        <f t="shared" si="16"/>
        <v>1</v>
      </c>
      <c r="Z351" s="21" t="str">
        <f t="shared" si="16"/>
        <v/>
      </c>
      <c r="AA351" s="21" t="str">
        <f t="shared" si="16"/>
        <v/>
      </c>
    </row>
    <row r="352" spans="22:27">
      <c r="V352" s="816">
        <v>17</v>
      </c>
      <c r="W352" s="223" t="s">
        <v>936</v>
      </c>
      <c r="X352" s="21" t="str">
        <f t="shared" si="16"/>
        <v/>
      </c>
      <c r="Y352" s="21">
        <f t="shared" si="16"/>
        <v>1</v>
      </c>
      <c r="Z352" s="21" t="str">
        <f t="shared" si="16"/>
        <v/>
      </c>
      <c r="AA352" s="21" t="str">
        <f t="shared" si="16"/>
        <v/>
      </c>
    </row>
    <row r="353" spans="22:27">
      <c r="V353" s="816">
        <v>18</v>
      </c>
      <c r="W353" s="223" t="s">
        <v>936</v>
      </c>
      <c r="X353" s="21" t="str">
        <f t="shared" si="16"/>
        <v/>
      </c>
      <c r="Y353" s="21">
        <f t="shared" si="16"/>
        <v>1</v>
      </c>
      <c r="Z353" s="21" t="str">
        <f t="shared" si="16"/>
        <v/>
      </c>
      <c r="AA353" s="21" t="str">
        <f t="shared" si="16"/>
        <v/>
      </c>
    </row>
    <row r="354" spans="22:27">
      <c r="V354" s="816">
        <v>19</v>
      </c>
      <c r="W354" s="223" t="s">
        <v>936</v>
      </c>
      <c r="X354" s="21" t="str">
        <f t="shared" si="16"/>
        <v/>
      </c>
      <c r="Y354" s="21">
        <f t="shared" si="16"/>
        <v>1</v>
      </c>
      <c r="Z354" s="21" t="str">
        <f t="shared" si="16"/>
        <v/>
      </c>
      <c r="AA354" s="21" t="str">
        <f t="shared" si="16"/>
        <v/>
      </c>
    </row>
    <row r="355" spans="22:27">
      <c r="V355" s="816">
        <v>20</v>
      </c>
      <c r="W355" s="223" t="s">
        <v>936</v>
      </c>
      <c r="X355" s="21" t="str">
        <f t="shared" si="16"/>
        <v/>
      </c>
      <c r="Y355" s="21">
        <f t="shared" si="16"/>
        <v>1</v>
      </c>
      <c r="Z355" s="21" t="str">
        <f t="shared" si="16"/>
        <v/>
      </c>
      <c r="AA355" s="21" t="str">
        <f t="shared" si="16"/>
        <v/>
      </c>
    </row>
    <row r="356" spans="22:27">
      <c r="V356" s="816">
        <v>21</v>
      </c>
      <c r="W356" s="223" t="s">
        <v>936</v>
      </c>
      <c r="X356" s="21" t="str">
        <f t="shared" si="16"/>
        <v/>
      </c>
      <c r="Y356" s="21">
        <f t="shared" si="16"/>
        <v>1</v>
      </c>
      <c r="Z356" s="21" t="str">
        <f t="shared" si="16"/>
        <v/>
      </c>
      <c r="AA356" s="21" t="str">
        <f t="shared" si="16"/>
        <v/>
      </c>
    </row>
    <row r="357" spans="22:27">
      <c r="V357" s="816">
        <v>22</v>
      </c>
      <c r="W357" s="223" t="s">
        <v>936</v>
      </c>
      <c r="X357" s="21" t="str">
        <f t="shared" si="16"/>
        <v/>
      </c>
      <c r="Y357" s="21">
        <f t="shared" si="16"/>
        <v>1</v>
      </c>
      <c r="Z357" s="21" t="str">
        <f t="shared" si="16"/>
        <v/>
      </c>
      <c r="AA357" s="21" t="str">
        <f t="shared" si="16"/>
        <v/>
      </c>
    </row>
    <row r="358" spans="22:27">
      <c r="V358" s="816">
        <v>23</v>
      </c>
      <c r="W358" s="223" t="s">
        <v>936</v>
      </c>
      <c r="X358" s="21" t="str">
        <f t="shared" si="16"/>
        <v/>
      </c>
      <c r="Y358" s="21">
        <f t="shared" si="16"/>
        <v>1</v>
      </c>
      <c r="Z358" s="21" t="str">
        <f t="shared" si="16"/>
        <v/>
      </c>
      <c r="AA358" s="21" t="str">
        <f t="shared" si="16"/>
        <v/>
      </c>
    </row>
    <row r="359" spans="22:27">
      <c r="V359" s="816">
        <v>24</v>
      </c>
      <c r="W359" s="223" t="s">
        <v>936</v>
      </c>
      <c r="X359" s="21" t="str">
        <f t="shared" si="16"/>
        <v/>
      </c>
      <c r="Y359" s="21">
        <f t="shared" si="16"/>
        <v>1</v>
      </c>
      <c r="Z359" s="21" t="str">
        <f t="shared" si="16"/>
        <v/>
      </c>
      <c r="AA359" s="21" t="str">
        <f t="shared" si="16"/>
        <v/>
      </c>
    </row>
    <row r="360" spans="22:27">
      <c r="V360" s="816">
        <v>25</v>
      </c>
      <c r="W360" s="223" t="s">
        <v>936</v>
      </c>
      <c r="X360" s="21" t="str">
        <f t="shared" ref="X360:AA391" si="17">IF($W360=X$4,1,"")</f>
        <v/>
      </c>
      <c r="Y360" s="21">
        <f t="shared" si="17"/>
        <v>1</v>
      </c>
      <c r="Z360" s="21" t="str">
        <f t="shared" si="17"/>
        <v/>
      </c>
      <c r="AA360" s="21" t="str">
        <f t="shared" si="17"/>
        <v/>
      </c>
    </row>
    <row r="361" spans="22:27">
      <c r="V361" s="816">
        <v>26</v>
      </c>
      <c r="W361" s="223" t="s">
        <v>935</v>
      </c>
      <c r="X361" s="21">
        <f t="shared" si="17"/>
        <v>1</v>
      </c>
      <c r="Y361" s="21" t="str">
        <f t="shared" si="17"/>
        <v/>
      </c>
      <c r="Z361" s="21" t="str">
        <f t="shared" si="17"/>
        <v/>
      </c>
      <c r="AA361" s="21" t="str">
        <f t="shared" si="17"/>
        <v/>
      </c>
    </row>
    <row r="362" spans="22:27">
      <c r="V362" s="816">
        <v>27</v>
      </c>
      <c r="W362" s="223" t="s">
        <v>935</v>
      </c>
      <c r="X362" s="21">
        <f t="shared" si="17"/>
        <v>1</v>
      </c>
      <c r="Y362" s="21" t="str">
        <f t="shared" si="17"/>
        <v/>
      </c>
      <c r="Z362" s="21" t="str">
        <f t="shared" si="17"/>
        <v/>
      </c>
      <c r="AA362" s="21" t="str">
        <f t="shared" si="17"/>
        <v/>
      </c>
    </row>
    <row r="363" spans="22:27">
      <c r="V363" s="816">
        <v>28</v>
      </c>
      <c r="W363" s="223" t="s">
        <v>935</v>
      </c>
      <c r="X363" s="21">
        <f t="shared" si="17"/>
        <v>1</v>
      </c>
      <c r="Y363" s="21" t="str">
        <f t="shared" si="17"/>
        <v/>
      </c>
      <c r="Z363" s="21" t="str">
        <f t="shared" si="17"/>
        <v/>
      </c>
      <c r="AA363" s="21" t="str">
        <f t="shared" si="17"/>
        <v/>
      </c>
    </row>
    <row r="364" spans="22:27">
      <c r="V364" s="816">
        <v>29</v>
      </c>
      <c r="W364" s="223" t="s">
        <v>935</v>
      </c>
      <c r="X364" s="21">
        <f t="shared" si="17"/>
        <v>1</v>
      </c>
      <c r="Y364" s="21" t="str">
        <f t="shared" si="17"/>
        <v/>
      </c>
      <c r="Z364" s="21" t="str">
        <f t="shared" si="17"/>
        <v/>
      </c>
      <c r="AA364" s="21" t="str">
        <f t="shared" si="17"/>
        <v/>
      </c>
    </row>
    <row r="365" spans="22:27">
      <c r="V365" s="816">
        <v>30</v>
      </c>
      <c r="W365" s="223" t="s">
        <v>935</v>
      </c>
      <c r="X365" s="21">
        <f t="shared" si="17"/>
        <v>1</v>
      </c>
      <c r="Y365" s="21" t="str">
        <f t="shared" si="17"/>
        <v/>
      </c>
      <c r="Z365" s="21" t="str">
        <f t="shared" si="17"/>
        <v/>
      </c>
      <c r="AA365" s="21" t="str">
        <f t="shared" si="17"/>
        <v/>
      </c>
    </row>
    <row r="366" spans="22:27">
      <c r="V366" s="816">
        <v>31</v>
      </c>
      <c r="W366" s="223" t="s">
        <v>936</v>
      </c>
      <c r="X366" s="21" t="str">
        <f t="shared" si="17"/>
        <v/>
      </c>
      <c r="Y366" s="21">
        <f t="shared" si="17"/>
        <v>1</v>
      </c>
      <c r="Z366" s="21" t="str">
        <f t="shared" si="17"/>
        <v/>
      </c>
      <c r="AA366" s="21" t="str">
        <f t="shared" si="17"/>
        <v/>
      </c>
    </row>
    <row r="367" spans="22:27">
      <c r="V367" s="816">
        <v>32</v>
      </c>
      <c r="W367" s="223" t="s">
        <v>936</v>
      </c>
      <c r="X367" s="21" t="str">
        <f t="shared" si="17"/>
        <v/>
      </c>
      <c r="Y367" s="21">
        <f t="shared" si="17"/>
        <v>1</v>
      </c>
      <c r="Z367" s="21" t="str">
        <f t="shared" si="17"/>
        <v/>
      </c>
      <c r="AA367" s="21" t="str">
        <f t="shared" si="17"/>
        <v/>
      </c>
    </row>
    <row r="368" spans="22:27">
      <c r="V368" s="816">
        <v>33</v>
      </c>
      <c r="W368" s="223" t="s">
        <v>936</v>
      </c>
      <c r="X368" s="21" t="str">
        <f t="shared" si="17"/>
        <v/>
      </c>
      <c r="Y368" s="21">
        <f t="shared" si="17"/>
        <v>1</v>
      </c>
      <c r="Z368" s="21" t="str">
        <f t="shared" si="17"/>
        <v/>
      </c>
      <c r="AA368" s="21" t="str">
        <f t="shared" si="17"/>
        <v/>
      </c>
    </row>
    <row r="369" spans="22:27">
      <c r="V369" s="816">
        <v>34</v>
      </c>
      <c r="W369" s="223" t="s">
        <v>936</v>
      </c>
      <c r="X369" s="21" t="str">
        <f t="shared" si="17"/>
        <v/>
      </c>
      <c r="Y369" s="21">
        <f t="shared" si="17"/>
        <v>1</v>
      </c>
      <c r="Z369" s="21" t="str">
        <f t="shared" si="17"/>
        <v/>
      </c>
      <c r="AA369" s="21" t="str">
        <f t="shared" si="17"/>
        <v/>
      </c>
    </row>
    <row r="370" spans="22:27">
      <c r="V370" s="816">
        <v>35</v>
      </c>
      <c r="W370" s="223" t="s">
        <v>936</v>
      </c>
      <c r="X370" s="21" t="str">
        <f t="shared" si="17"/>
        <v/>
      </c>
      <c r="Y370" s="21">
        <f t="shared" si="17"/>
        <v>1</v>
      </c>
      <c r="Z370" s="21" t="str">
        <f t="shared" si="17"/>
        <v/>
      </c>
      <c r="AA370" s="21" t="str">
        <f t="shared" si="17"/>
        <v/>
      </c>
    </row>
    <row r="371" spans="22:27">
      <c r="V371" s="816">
        <v>36</v>
      </c>
      <c r="W371" s="223" t="s">
        <v>936</v>
      </c>
      <c r="X371" s="21" t="str">
        <f t="shared" si="17"/>
        <v/>
      </c>
      <c r="Y371" s="21">
        <f t="shared" si="17"/>
        <v>1</v>
      </c>
      <c r="Z371" s="21" t="str">
        <f t="shared" si="17"/>
        <v/>
      </c>
      <c r="AA371" s="21" t="str">
        <f t="shared" si="17"/>
        <v/>
      </c>
    </row>
    <row r="372" spans="22:27">
      <c r="V372" s="816">
        <v>37</v>
      </c>
      <c r="W372" s="223" t="s">
        <v>936</v>
      </c>
      <c r="X372" s="21" t="str">
        <f t="shared" si="17"/>
        <v/>
      </c>
      <c r="Y372" s="21">
        <f t="shared" si="17"/>
        <v>1</v>
      </c>
      <c r="Z372" s="21" t="str">
        <f t="shared" si="17"/>
        <v/>
      </c>
      <c r="AA372" s="21" t="str">
        <f t="shared" si="17"/>
        <v/>
      </c>
    </row>
    <row r="373" spans="22:27">
      <c r="V373" s="816">
        <v>38</v>
      </c>
      <c r="W373" s="223" t="s">
        <v>936</v>
      </c>
      <c r="X373" s="21" t="str">
        <f t="shared" si="17"/>
        <v/>
      </c>
      <c r="Y373" s="21">
        <f t="shared" si="17"/>
        <v>1</v>
      </c>
      <c r="Z373" s="21" t="str">
        <f t="shared" si="17"/>
        <v/>
      </c>
      <c r="AA373" s="21" t="str">
        <f t="shared" si="17"/>
        <v/>
      </c>
    </row>
    <row r="374" spans="22:27">
      <c r="V374" s="816">
        <v>39</v>
      </c>
      <c r="W374" s="223" t="s">
        <v>936</v>
      </c>
      <c r="X374" s="21" t="str">
        <f t="shared" si="17"/>
        <v/>
      </c>
      <c r="Y374" s="21">
        <f t="shared" si="17"/>
        <v>1</v>
      </c>
      <c r="Z374" s="21" t="str">
        <f t="shared" si="17"/>
        <v/>
      </c>
      <c r="AA374" s="21" t="str">
        <f t="shared" si="17"/>
        <v/>
      </c>
    </row>
    <row r="375" spans="22:27">
      <c r="V375" s="816">
        <v>40</v>
      </c>
      <c r="W375" s="223" t="s">
        <v>936</v>
      </c>
      <c r="X375" s="21" t="str">
        <f t="shared" si="17"/>
        <v/>
      </c>
      <c r="Y375" s="21">
        <f t="shared" si="17"/>
        <v>1</v>
      </c>
      <c r="Z375" s="21" t="str">
        <f t="shared" si="17"/>
        <v/>
      </c>
      <c r="AA375" s="21" t="str">
        <f t="shared" si="17"/>
        <v/>
      </c>
    </row>
    <row r="376" spans="22:27">
      <c r="V376" s="816">
        <v>41</v>
      </c>
      <c r="W376" s="223" t="s">
        <v>936</v>
      </c>
      <c r="X376" s="21" t="str">
        <f t="shared" si="17"/>
        <v/>
      </c>
      <c r="Y376" s="21">
        <f t="shared" si="17"/>
        <v>1</v>
      </c>
      <c r="Z376" s="21" t="str">
        <f t="shared" si="17"/>
        <v/>
      </c>
      <c r="AA376" s="21" t="str">
        <f t="shared" si="17"/>
        <v/>
      </c>
    </row>
    <row r="377" spans="22:27">
      <c r="V377" s="816">
        <v>42</v>
      </c>
      <c r="W377" s="223" t="s">
        <v>936</v>
      </c>
      <c r="X377" s="21" t="str">
        <f t="shared" si="17"/>
        <v/>
      </c>
      <c r="Y377" s="21">
        <f t="shared" si="17"/>
        <v>1</v>
      </c>
      <c r="Z377" s="21" t="str">
        <f t="shared" si="17"/>
        <v/>
      </c>
      <c r="AA377" s="21" t="str">
        <f t="shared" si="17"/>
        <v/>
      </c>
    </row>
    <row r="378" spans="22:27">
      <c r="V378" s="816">
        <v>43</v>
      </c>
      <c r="W378" s="223" t="s">
        <v>936</v>
      </c>
      <c r="X378" s="21" t="str">
        <f t="shared" si="17"/>
        <v/>
      </c>
      <c r="Y378" s="21">
        <f t="shared" si="17"/>
        <v>1</v>
      </c>
      <c r="Z378" s="21" t="str">
        <f t="shared" si="17"/>
        <v/>
      </c>
      <c r="AA378" s="21" t="str">
        <f t="shared" si="17"/>
        <v/>
      </c>
    </row>
    <row r="379" spans="22:27">
      <c r="V379" s="816">
        <v>44</v>
      </c>
      <c r="W379" s="223" t="s">
        <v>936</v>
      </c>
      <c r="X379" s="21" t="str">
        <f t="shared" si="17"/>
        <v/>
      </c>
      <c r="Y379" s="21">
        <f t="shared" si="17"/>
        <v>1</v>
      </c>
      <c r="Z379" s="21" t="str">
        <f t="shared" si="17"/>
        <v/>
      </c>
      <c r="AA379" s="21" t="str">
        <f t="shared" si="17"/>
        <v/>
      </c>
    </row>
    <row r="380" spans="22:27">
      <c r="V380" s="816">
        <v>45</v>
      </c>
      <c r="W380" s="223" t="s">
        <v>936</v>
      </c>
      <c r="X380" s="21" t="str">
        <f t="shared" si="17"/>
        <v/>
      </c>
      <c r="Y380" s="21">
        <f t="shared" si="17"/>
        <v>1</v>
      </c>
      <c r="Z380" s="21" t="str">
        <f t="shared" si="17"/>
        <v/>
      </c>
      <c r="AA380" s="21" t="str">
        <f t="shared" si="17"/>
        <v/>
      </c>
    </row>
    <row r="381" spans="22:27">
      <c r="V381" s="816">
        <v>46</v>
      </c>
      <c r="W381" s="223" t="s">
        <v>936</v>
      </c>
      <c r="X381" s="21" t="str">
        <f t="shared" si="17"/>
        <v/>
      </c>
      <c r="Y381" s="21">
        <f t="shared" si="17"/>
        <v>1</v>
      </c>
      <c r="Z381" s="21" t="str">
        <f t="shared" si="17"/>
        <v/>
      </c>
      <c r="AA381" s="21" t="str">
        <f t="shared" si="17"/>
        <v/>
      </c>
    </row>
    <row r="382" spans="22:27">
      <c r="V382" s="816">
        <v>47</v>
      </c>
      <c r="W382" s="223" t="s">
        <v>936</v>
      </c>
      <c r="X382" s="21" t="str">
        <f t="shared" si="17"/>
        <v/>
      </c>
      <c r="Y382" s="21">
        <f t="shared" si="17"/>
        <v>1</v>
      </c>
      <c r="Z382" s="21" t="str">
        <f t="shared" si="17"/>
        <v/>
      </c>
      <c r="AA382" s="21" t="str">
        <f t="shared" si="17"/>
        <v/>
      </c>
    </row>
    <row r="383" spans="22:27">
      <c r="V383" s="816">
        <v>48</v>
      </c>
      <c r="W383" s="223" t="s">
        <v>936</v>
      </c>
      <c r="X383" s="21" t="str">
        <f t="shared" si="17"/>
        <v/>
      </c>
      <c r="Y383" s="21">
        <f t="shared" si="17"/>
        <v>1</v>
      </c>
      <c r="Z383" s="21" t="str">
        <f t="shared" si="17"/>
        <v/>
      </c>
      <c r="AA383" s="21" t="str">
        <f t="shared" si="17"/>
        <v/>
      </c>
    </row>
    <row r="384" spans="22:27">
      <c r="V384" s="816">
        <v>49</v>
      </c>
      <c r="W384" s="223" t="s">
        <v>936</v>
      </c>
      <c r="X384" s="21" t="str">
        <f t="shared" si="17"/>
        <v/>
      </c>
      <c r="Y384" s="21">
        <f t="shared" si="17"/>
        <v>1</v>
      </c>
      <c r="Z384" s="21" t="str">
        <f t="shared" si="17"/>
        <v/>
      </c>
      <c r="AA384" s="21" t="str">
        <f t="shared" si="17"/>
        <v/>
      </c>
    </row>
    <row r="385" spans="22:27">
      <c r="V385" s="816">
        <v>50</v>
      </c>
      <c r="W385" s="223" t="s">
        <v>936</v>
      </c>
      <c r="X385" s="21" t="str">
        <f t="shared" si="17"/>
        <v/>
      </c>
      <c r="Y385" s="21">
        <f t="shared" si="17"/>
        <v>1</v>
      </c>
      <c r="Z385" s="21" t="str">
        <f t="shared" si="17"/>
        <v/>
      </c>
      <c r="AA385" s="21" t="str">
        <f t="shared" si="17"/>
        <v/>
      </c>
    </row>
    <row r="386" spans="22:27">
      <c r="V386" s="816">
        <v>51</v>
      </c>
      <c r="W386" s="223" t="s">
        <v>936</v>
      </c>
      <c r="X386" s="21" t="str">
        <f t="shared" si="17"/>
        <v/>
      </c>
      <c r="Y386" s="21">
        <f t="shared" si="17"/>
        <v>1</v>
      </c>
      <c r="Z386" s="21" t="str">
        <f t="shared" si="17"/>
        <v/>
      </c>
      <c r="AA386" s="21" t="str">
        <f t="shared" si="17"/>
        <v/>
      </c>
    </row>
    <row r="387" spans="22:27">
      <c r="V387" s="816">
        <v>52</v>
      </c>
      <c r="W387" s="223" t="s">
        <v>936</v>
      </c>
      <c r="X387" s="21" t="str">
        <f t="shared" si="17"/>
        <v/>
      </c>
      <c r="Y387" s="21">
        <f t="shared" si="17"/>
        <v>1</v>
      </c>
      <c r="Z387" s="21" t="str">
        <f t="shared" si="17"/>
        <v/>
      </c>
      <c r="AA387" s="21" t="str">
        <f t="shared" si="17"/>
        <v/>
      </c>
    </row>
    <row r="388" spans="22:27">
      <c r="V388" s="816">
        <v>53</v>
      </c>
      <c r="W388" s="223" t="s">
        <v>936</v>
      </c>
      <c r="X388" s="21" t="str">
        <f t="shared" si="17"/>
        <v/>
      </c>
      <c r="Y388" s="21">
        <f t="shared" si="17"/>
        <v>1</v>
      </c>
      <c r="Z388" s="21" t="str">
        <f t="shared" si="17"/>
        <v/>
      </c>
      <c r="AA388" s="21" t="str">
        <f t="shared" si="17"/>
        <v/>
      </c>
    </row>
    <row r="389" spans="22:27">
      <c r="V389" s="816">
        <v>54</v>
      </c>
      <c r="W389" s="223" t="s">
        <v>936</v>
      </c>
      <c r="X389" s="21" t="str">
        <f t="shared" si="17"/>
        <v/>
      </c>
      <c r="Y389" s="21">
        <f t="shared" si="17"/>
        <v>1</v>
      </c>
      <c r="Z389" s="21" t="str">
        <f t="shared" si="17"/>
        <v/>
      </c>
      <c r="AA389" s="21" t="str">
        <f t="shared" si="17"/>
        <v/>
      </c>
    </row>
    <row r="390" spans="22:27">
      <c r="V390" s="816">
        <v>55</v>
      </c>
      <c r="W390" s="223" t="s">
        <v>936</v>
      </c>
      <c r="X390" s="21" t="str">
        <f t="shared" si="17"/>
        <v/>
      </c>
      <c r="Y390" s="21">
        <f t="shared" si="17"/>
        <v>1</v>
      </c>
      <c r="Z390" s="21" t="str">
        <f t="shared" si="17"/>
        <v/>
      </c>
      <c r="AA390" s="21" t="str">
        <f t="shared" si="17"/>
        <v/>
      </c>
    </row>
    <row r="391" spans="22:27">
      <c r="V391" s="816">
        <v>56</v>
      </c>
      <c r="W391" s="223" t="s">
        <v>936</v>
      </c>
      <c r="X391" s="21" t="str">
        <f t="shared" si="17"/>
        <v/>
      </c>
      <c r="Y391" s="21">
        <f t="shared" si="17"/>
        <v>1</v>
      </c>
      <c r="Z391" s="21" t="str">
        <f t="shared" si="17"/>
        <v/>
      </c>
      <c r="AA391" s="21" t="str">
        <f t="shared" si="17"/>
        <v/>
      </c>
    </row>
    <row r="392" spans="22:27">
      <c r="V392" s="816">
        <v>57</v>
      </c>
      <c r="W392" s="223" t="s">
        <v>936</v>
      </c>
      <c r="X392" s="21" t="str">
        <f t="shared" ref="X392:AA423" si="18">IF($W392=X$4,1,"")</f>
        <v/>
      </c>
      <c r="Y392" s="21">
        <f t="shared" si="18"/>
        <v>1</v>
      </c>
      <c r="Z392" s="21" t="str">
        <f t="shared" si="18"/>
        <v/>
      </c>
      <c r="AA392" s="21" t="str">
        <f t="shared" si="18"/>
        <v/>
      </c>
    </row>
    <row r="393" spans="22:27">
      <c r="V393" s="816">
        <v>58</v>
      </c>
      <c r="W393" s="223" t="s">
        <v>936</v>
      </c>
      <c r="X393" s="21" t="str">
        <f t="shared" si="18"/>
        <v/>
      </c>
      <c r="Y393" s="21">
        <f t="shared" si="18"/>
        <v>1</v>
      </c>
      <c r="Z393" s="21" t="str">
        <f t="shared" si="18"/>
        <v/>
      </c>
      <c r="AA393" s="21" t="str">
        <f t="shared" si="18"/>
        <v/>
      </c>
    </row>
    <row r="394" spans="22:27">
      <c r="V394" s="816">
        <v>59</v>
      </c>
      <c r="W394" s="223" t="s">
        <v>936</v>
      </c>
      <c r="X394" s="21" t="str">
        <f t="shared" si="18"/>
        <v/>
      </c>
      <c r="Y394" s="21">
        <f t="shared" si="18"/>
        <v>1</v>
      </c>
      <c r="Z394" s="21" t="str">
        <f t="shared" si="18"/>
        <v/>
      </c>
      <c r="AA394" s="21" t="str">
        <f t="shared" si="18"/>
        <v/>
      </c>
    </row>
    <row r="395" spans="22:27">
      <c r="V395" s="816">
        <v>60</v>
      </c>
      <c r="W395" s="223" t="s">
        <v>936</v>
      </c>
      <c r="X395" s="21" t="str">
        <f t="shared" si="18"/>
        <v/>
      </c>
      <c r="Y395" s="21">
        <f t="shared" si="18"/>
        <v>1</v>
      </c>
      <c r="Z395" s="21" t="str">
        <f t="shared" si="18"/>
        <v/>
      </c>
      <c r="AA395" s="21" t="str">
        <f t="shared" si="18"/>
        <v/>
      </c>
    </row>
    <row r="396" spans="22:27">
      <c r="V396" s="816">
        <v>61</v>
      </c>
      <c r="W396" s="223" t="s">
        <v>935</v>
      </c>
      <c r="X396" s="21">
        <f t="shared" si="18"/>
        <v>1</v>
      </c>
      <c r="Y396" s="21" t="str">
        <f t="shared" si="18"/>
        <v/>
      </c>
      <c r="Z396" s="21" t="str">
        <f t="shared" si="18"/>
        <v/>
      </c>
      <c r="AA396" s="21" t="str">
        <f t="shared" si="18"/>
        <v/>
      </c>
    </row>
    <row r="397" spans="22:27">
      <c r="V397" s="816">
        <v>62</v>
      </c>
      <c r="W397" s="223" t="s">
        <v>935</v>
      </c>
      <c r="X397" s="21">
        <f t="shared" si="18"/>
        <v>1</v>
      </c>
      <c r="Y397" s="21" t="str">
        <f t="shared" si="18"/>
        <v/>
      </c>
      <c r="Z397" s="21" t="str">
        <f t="shared" si="18"/>
        <v/>
      </c>
      <c r="AA397" s="21" t="str">
        <f t="shared" si="18"/>
        <v/>
      </c>
    </row>
    <row r="398" spans="22:27">
      <c r="V398" s="816">
        <v>63</v>
      </c>
      <c r="W398" s="223" t="s">
        <v>936</v>
      </c>
      <c r="X398" s="21" t="str">
        <f t="shared" si="18"/>
        <v/>
      </c>
      <c r="Y398" s="21">
        <f t="shared" si="18"/>
        <v>1</v>
      </c>
      <c r="Z398" s="21" t="str">
        <f t="shared" si="18"/>
        <v/>
      </c>
      <c r="AA398" s="21" t="str">
        <f t="shared" si="18"/>
        <v/>
      </c>
    </row>
    <row r="399" spans="22:27">
      <c r="V399" s="816">
        <v>64</v>
      </c>
      <c r="W399" s="223" t="s">
        <v>936</v>
      </c>
      <c r="X399" s="21" t="str">
        <f t="shared" si="18"/>
        <v/>
      </c>
      <c r="Y399" s="21">
        <f t="shared" si="18"/>
        <v>1</v>
      </c>
      <c r="Z399" s="21" t="str">
        <f t="shared" si="18"/>
        <v/>
      </c>
      <c r="AA399" s="21" t="str">
        <f t="shared" si="18"/>
        <v/>
      </c>
    </row>
    <row r="400" spans="22:27">
      <c r="V400" s="816">
        <v>65</v>
      </c>
      <c r="W400" s="223" t="s">
        <v>936</v>
      </c>
      <c r="X400" s="21" t="str">
        <f t="shared" si="18"/>
        <v/>
      </c>
      <c r="Y400" s="21">
        <f t="shared" si="18"/>
        <v>1</v>
      </c>
      <c r="Z400" s="21" t="str">
        <f t="shared" si="18"/>
        <v/>
      </c>
      <c r="AA400" s="21" t="str">
        <f t="shared" si="18"/>
        <v/>
      </c>
    </row>
    <row r="401" spans="22:27">
      <c r="V401" s="816">
        <v>66</v>
      </c>
      <c r="W401" s="223" t="s">
        <v>936</v>
      </c>
      <c r="X401" s="21" t="str">
        <f t="shared" si="18"/>
        <v/>
      </c>
      <c r="Y401" s="21">
        <f t="shared" si="18"/>
        <v>1</v>
      </c>
      <c r="Z401" s="21" t="str">
        <f t="shared" si="18"/>
        <v/>
      </c>
      <c r="AA401" s="21" t="str">
        <f t="shared" si="18"/>
        <v/>
      </c>
    </row>
    <row r="402" spans="22:27">
      <c r="V402" s="816">
        <v>67</v>
      </c>
      <c r="W402" s="223" t="s">
        <v>936</v>
      </c>
      <c r="X402" s="21" t="str">
        <f t="shared" si="18"/>
        <v/>
      </c>
      <c r="Y402" s="21">
        <f t="shared" si="18"/>
        <v>1</v>
      </c>
      <c r="Z402" s="21" t="str">
        <f t="shared" si="18"/>
        <v/>
      </c>
      <c r="AA402" s="21" t="str">
        <f t="shared" si="18"/>
        <v/>
      </c>
    </row>
    <row r="403" spans="22:27">
      <c r="V403" s="816">
        <v>68</v>
      </c>
      <c r="W403" s="223" t="s">
        <v>936</v>
      </c>
      <c r="X403" s="21" t="str">
        <f t="shared" si="18"/>
        <v/>
      </c>
      <c r="Y403" s="21">
        <f t="shared" si="18"/>
        <v>1</v>
      </c>
      <c r="Z403" s="21" t="str">
        <f t="shared" si="18"/>
        <v/>
      </c>
      <c r="AA403" s="21" t="str">
        <f t="shared" si="18"/>
        <v/>
      </c>
    </row>
    <row r="404" spans="22:27">
      <c r="V404" s="816">
        <v>69</v>
      </c>
      <c r="W404" s="223" t="s">
        <v>936</v>
      </c>
      <c r="X404" s="21" t="str">
        <f t="shared" si="18"/>
        <v/>
      </c>
      <c r="Y404" s="21">
        <f t="shared" si="18"/>
        <v>1</v>
      </c>
      <c r="Z404" s="21" t="str">
        <f t="shared" si="18"/>
        <v/>
      </c>
      <c r="AA404" s="21" t="str">
        <f t="shared" si="18"/>
        <v/>
      </c>
    </row>
    <row r="405" spans="22:27">
      <c r="V405" s="816">
        <v>70</v>
      </c>
      <c r="W405" s="223" t="s">
        <v>936</v>
      </c>
      <c r="X405" s="21" t="str">
        <f t="shared" si="18"/>
        <v/>
      </c>
      <c r="Y405" s="21">
        <f t="shared" si="18"/>
        <v>1</v>
      </c>
      <c r="Z405" s="21" t="str">
        <f t="shared" si="18"/>
        <v/>
      </c>
      <c r="AA405" s="21" t="str">
        <f t="shared" si="18"/>
        <v/>
      </c>
    </row>
    <row r="406" spans="22:27">
      <c r="V406" s="816">
        <v>71</v>
      </c>
      <c r="W406" s="223" t="s">
        <v>936</v>
      </c>
      <c r="X406" s="21" t="str">
        <f t="shared" si="18"/>
        <v/>
      </c>
      <c r="Y406" s="21">
        <f t="shared" si="18"/>
        <v>1</v>
      </c>
      <c r="Z406" s="21" t="str">
        <f t="shared" si="18"/>
        <v/>
      </c>
      <c r="AA406" s="21" t="str">
        <f t="shared" si="18"/>
        <v/>
      </c>
    </row>
    <row r="407" spans="22:27">
      <c r="V407" s="816">
        <v>72</v>
      </c>
      <c r="W407" s="223" t="s">
        <v>936</v>
      </c>
      <c r="X407" s="21" t="str">
        <f t="shared" si="18"/>
        <v/>
      </c>
      <c r="Y407" s="21">
        <f t="shared" si="18"/>
        <v>1</v>
      </c>
      <c r="Z407" s="21" t="str">
        <f t="shared" si="18"/>
        <v/>
      </c>
      <c r="AA407" s="21" t="str">
        <f t="shared" si="18"/>
        <v/>
      </c>
    </row>
    <row r="408" spans="22:27">
      <c r="V408" s="816">
        <v>73</v>
      </c>
      <c r="W408" s="223" t="s">
        <v>936</v>
      </c>
      <c r="X408" s="21" t="str">
        <f t="shared" si="18"/>
        <v/>
      </c>
      <c r="Y408" s="21">
        <f t="shared" si="18"/>
        <v>1</v>
      </c>
      <c r="Z408" s="21" t="str">
        <f t="shared" si="18"/>
        <v/>
      </c>
      <c r="AA408" s="21" t="str">
        <f t="shared" si="18"/>
        <v/>
      </c>
    </row>
    <row r="409" spans="22:27">
      <c r="V409" s="816">
        <v>74</v>
      </c>
      <c r="W409" s="223" t="s">
        <v>936</v>
      </c>
      <c r="X409" s="21" t="str">
        <f t="shared" si="18"/>
        <v/>
      </c>
      <c r="Y409" s="21">
        <f t="shared" si="18"/>
        <v>1</v>
      </c>
      <c r="Z409" s="21" t="str">
        <f t="shared" si="18"/>
        <v/>
      </c>
      <c r="AA409" s="21" t="str">
        <f t="shared" si="18"/>
        <v/>
      </c>
    </row>
    <row r="410" spans="22:27">
      <c r="V410" s="816">
        <v>75</v>
      </c>
      <c r="W410" s="223" t="s">
        <v>935</v>
      </c>
      <c r="X410" s="21">
        <f t="shared" si="18"/>
        <v>1</v>
      </c>
      <c r="Y410" s="21" t="str">
        <f t="shared" si="18"/>
        <v/>
      </c>
      <c r="Z410" s="21" t="str">
        <f t="shared" si="18"/>
        <v/>
      </c>
      <c r="AA410" s="21" t="str">
        <f t="shared" si="18"/>
        <v/>
      </c>
    </row>
    <row r="411" spans="22:27">
      <c r="V411" s="816">
        <v>76</v>
      </c>
      <c r="W411" s="223" t="s">
        <v>935</v>
      </c>
      <c r="X411" s="21">
        <f t="shared" si="18"/>
        <v>1</v>
      </c>
      <c r="Y411" s="21" t="str">
        <f t="shared" si="18"/>
        <v/>
      </c>
      <c r="Z411" s="21" t="str">
        <f t="shared" si="18"/>
        <v/>
      </c>
      <c r="AA411" s="21" t="str">
        <f t="shared" si="18"/>
        <v/>
      </c>
    </row>
    <row r="412" spans="22:27">
      <c r="V412" s="816">
        <v>77</v>
      </c>
      <c r="W412" s="223" t="s">
        <v>935</v>
      </c>
      <c r="X412" s="21">
        <f t="shared" si="18"/>
        <v>1</v>
      </c>
      <c r="Y412" s="21" t="str">
        <f t="shared" si="18"/>
        <v/>
      </c>
      <c r="Z412" s="21" t="str">
        <f t="shared" si="18"/>
        <v/>
      </c>
      <c r="AA412" s="21" t="str">
        <f t="shared" si="18"/>
        <v/>
      </c>
    </row>
    <row r="413" spans="22:27">
      <c r="V413" s="816">
        <v>78</v>
      </c>
      <c r="W413" s="223" t="s">
        <v>935</v>
      </c>
      <c r="X413" s="21">
        <f t="shared" si="18"/>
        <v>1</v>
      </c>
      <c r="Y413" s="21" t="str">
        <f t="shared" si="18"/>
        <v/>
      </c>
      <c r="Z413" s="21" t="str">
        <f t="shared" si="18"/>
        <v/>
      </c>
      <c r="AA413" s="21" t="str">
        <f t="shared" si="18"/>
        <v/>
      </c>
    </row>
    <row r="414" spans="22:27">
      <c r="V414" s="816">
        <v>79</v>
      </c>
      <c r="W414" s="223" t="s">
        <v>935</v>
      </c>
      <c r="X414" s="21">
        <f t="shared" si="18"/>
        <v>1</v>
      </c>
      <c r="Y414" s="21" t="str">
        <f t="shared" si="18"/>
        <v/>
      </c>
      <c r="Z414" s="21" t="str">
        <f t="shared" si="18"/>
        <v/>
      </c>
      <c r="AA414" s="21" t="str">
        <f t="shared" si="18"/>
        <v/>
      </c>
    </row>
    <row r="415" spans="22:27">
      <c r="V415" s="816">
        <v>80</v>
      </c>
      <c r="W415" s="223" t="s">
        <v>935</v>
      </c>
      <c r="X415" s="21">
        <f t="shared" si="18"/>
        <v>1</v>
      </c>
      <c r="Y415" s="21" t="str">
        <f t="shared" si="18"/>
        <v/>
      </c>
      <c r="Z415" s="21" t="str">
        <f t="shared" si="18"/>
        <v/>
      </c>
      <c r="AA415" s="21" t="str">
        <f t="shared" si="18"/>
        <v/>
      </c>
    </row>
    <row r="416" spans="22:27">
      <c r="V416" s="816">
        <v>81</v>
      </c>
      <c r="W416" s="223" t="s">
        <v>936</v>
      </c>
      <c r="X416" s="21" t="str">
        <f t="shared" si="18"/>
        <v/>
      </c>
      <c r="Y416" s="21">
        <f t="shared" si="18"/>
        <v>1</v>
      </c>
      <c r="Z416" s="21" t="str">
        <f t="shared" si="18"/>
        <v/>
      </c>
      <c r="AA416" s="21" t="str">
        <f t="shared" si="18"/>
        <v/>
      </c>
    </row>
    <row r="417" spans="22:27">
      <c r="V417" s="816">
        <v>82</v>
      </c>
      <c r="W417" s="223" t="s">
        <v>936</v>
      </c>
      <c r="X417" s="21" t="str">
        <f t="shared" si="18"/>
        <v/>
      </c>
      <c r="Y417" s="21">
        <f t="shared" si="18"/>
        <v>1</v>
      </c>
      <c r="Z417" s="21" t="str">
        <f t="shared" si="18"/>
        <v/>
      </c>
      <c r="AA417" s="21" t="str">
        <f t="shared" si="18"/>
        <v/>
      </c>
    </row>
    <row r="418" spans="22:27">
      <c r="V418" s="816">
        <v>83</v>
      </c>
      <c r="W418" s="223" t="s">
        <v>936</v>
      </c>
      <c r="X418" s="21" t="str">
        <f t="shared" si="18"/>
        <v/>
      </c>
      <c r="Y418" s="21">
        <f t="shared" si="18"/>
        <v>1</v>
      </c>
      <c r="Z418" s="21" t="str">
        <f t="shared" si="18"/>
        <v/>
      </c>
      <c r="AA418" s="21" t="str">
        <f t="shared" si="18"/>
        <v/>
      </c>
    </row>
    <row r="419" spans="22:27">
      <c r="V419" s="816">
        <v>84</v>
      </c>
      <c r="W419" s="223" t="s">
        <v>936</v>
      </c>
      <c r="X419" s="21" t="str">
        <f t="shared" si="18"/>
        <v/>
      </c>
      <c r="Y419" s="21">
        <f t="shared" si="18"/>
        <v>1</v>
      </c>
      <c r="Z419" s="21" t="str">
        <f t="shared" si="18"/>
        <v/>
      </c>
      <c r="AA419" s="21" t="str">
        <f t="shared" si="18"/>
        <v/>
      </c>
    </row>
    <row r="420" spans="22:27">
      <c r="V420" s="816">
        <v>85</v>
      </c>
      <c r="W420" s="223" t="s">
        <v>936</v>
      </c>
      <c r="X420" s="21" t="str">
        <f t="shared" si="18"/>
        <v/>
      </c>
      <c r="Y420" s="21">
        <f t="shared" si="18"/>
        <v>1</v>
      </c>
      <c r="Z420" s="21" t="str">
        <f t="shared" si="18"/>
        <v/>
      </c>
      <c r="AA420" s="21" t="str">
        <f t="shared" si="18"/>
        <v/>
      </c>
    </row>
    <row r="421" spans="22:27">
      <c r="V421" s="816">
        <v>86</v>
      </c>
      <c r="W421" s="223" t="s">
        <v>936</v>
      </c>
      <c r="X421" s="21" t="str">
        <f t="shared" si="18"/>
        <v/>
      </c>
      <c r="Y421" s="21">
        <f t="shared" si="18"/>
        <v>1</v>
      </c>
      <c r="Z421" s="21" t="str">
        <f t="shared" si="18"/>
        <v/>
      </c>
      <c r="AA421" s="21" t="str">
        <f t="shared" si="18"/>
        <v/>
      </c>
    </row>
    <row r="422" spans="22:27">
      <c r="V422" s="816">
        <v>87</v>
      </c>
      <c r="W422" s="223" t="s">
        <v>936</v>
      </c>
      <c r="X422" s="21" t="str">
        <f t="shared" si="18"/>
        <v/>
      </c>
      <c r="Y422" s="21">
        <f t="shared" si="18"/>
        <v>1</v>
      </c>
      <c r="Z422" s="21" t="str">
        <f t="shared" si="18"/>
        <v/>
      </c>
      <c r="AA422" s="21" t="str">
        <f t="shared" si="18"/>
        <v/>
      </c>
    </row>
    <row r="423" spans="22:27">
      <c r="V423" s="816">
        <v>88</v>
      </c>
      <c r="W423" s="223" t="s">
        <v>936</v>
      </c>
      <c r="X423" s="21" t="str">
        <f t="shared" si="18"/>
        <v/>
      </c>
      <c r="Y423" s="21">
        <f t="shared" si="18"/>
        <v>1</v>
      </c>
      <c r="Z423" s="21" t="str">
        <f t="shared" si="18"/>
        <v/>
      </c>
      <c r="AA423" s="21" t="str">
        <f t="shared" si="18"/>
        <v/>
      </c>
    </row>
    <row r="424" spans="22:27">
      <c r="V424" s="816">
        <v>89</v>
      </c>
      <c r="W424" s="223" t="s">
        <v>936</v>
      </c>
      <c r="X424" s="21" t="str">
        <f t="shared" ref="X424:AA466" si="19">IF($W424=X$4,1,"")</f>
        <v/>
      </c>
      <c r="Y424" s="21">
        <f t="shared" si="19"/>
        <v>1</v>
      </c>
      <c r="Z424" s="21" t="str">
        <f t="shared" si="19"/>
        <v/>
      </c>
      <c r="AA424" s="21" t="str">
        <f t="shared" si="19"/>
        <v/>
      </c>
    </row>
    <row r="425" spans="22:27">
      <c r="V425" s="816">
        <v>90</v>
      </c>
      <c r="W425" s="223" t="s">
        <v>936</v>
      </c>
      <c r="X425" s="21" t="str">
        <f t="shared" si="19"/>
        <v/>
      </c>
      <c r="Y425" s="21">
        <f t="shared" si="19"/>
        <v>1</v>
      </c>
      <c r="Z425" s="21" t="str">
        <f t="shared" si="19"/>
        <v/>
      </c>
      <c r="AA425" s="21" t="str">
        <f t="shared" si="19"/>
        <v/>
      </c>
    </row>
    <row r="426" spans="22:27">
      <c r="V426" s="816">
        <v>91</v>
      </c>
      <c r="W426" s="223" t="s">
        <v>936</v>
      </c>
      <c r="X426" s="21" t="str">
        <f t="shared" si="19"/>
        <v/>
      </c>
      <c r="Y426" s="21">
        <f t="shared" si="19"/>
        <v>1</v>
      </c>
      <c r="Z426" s="21" t="str">
        <f t="shared" si="19"/>
        <v/>
      </c>
      <c r="AA426" s="21" t="str">
        <f t="shared" si="19"/>
        <v/>
      </c>
    </row>
    <row r="427" spans="22:27">
      <c r="V427" s="816">
        <v>92</v>
      </c>
      <c r="W427" s="223" t="s">
        <v>936</v>
      </c>
      <c r="X427" s="21" t="str">
        <f t="shared" si="19"/>
        <v/>
      </c>
      <c r="Y427" s="21">
        <f t="shared" si="19"/>
        <v>1</v>
      </c>
      <c r="Z427" s="21" t="str">
        <f t="shared" si="19"/>
        <v/>
      </c>
      <c r="AA427" s="21" t="str">
        <f t="shared" si="19"/>
        <v/>
      </c>
    </row>
    <row r="428" spans="22:27">
      <c r="V428" s="816">
        <v>93</v>
      </c>
      <c r="W428" s="223" t="s">
        <v>936</v>
      </c>
      <c r="X428" s="21" t="str">
        <f t="shared" si="19"/>
        <v/>
      </c>
      <c r="Y428" s="21">
        <f t="shared" si="19"/>
        <v>1</v>
      </c>
      <c r="Z428" s="21" t="str">
        <f t="shared" si="19"/>
        <v/>
      </c>
      <c r="AA428" s="21" t="str">
        <f t="shared" si="19"/>
        <v/>
      </c>
    </row>
    <row r="429" spans="22:27">
      <c r="V429" s="816">
        <v>94</v>
      </c>
      <c r="W429" s="223" t="s">
        <v>936</v>
      </c>
      <c r="X429" s="21" t="str">
        <f t="shared" si="19"/>
        <v/>
      </c>
      <c r="Y429" s="21">
        <f t="shared" si="19"/>
        <v>1</v>
      </c>
      <c r="Z429" s="21" t="str">
        <f t="shared" si="19"/>
        <v/>
      </c>
      <c r="AA429" s="21" t="str">
        <f t="shared" si="19"/>
        <v/>
      </c>
    </row>
    <row r="430" spans="22:27">
      <c r="V430" s="816">
        <v>95</v>
      </c>
      <c r="W430" s="223" t="s">
        <v>936</v>
      </c>
      <c r="X430" s="21" t="str">
        <f t="shared" si="19"/>
        <v/>
      </c>
      <c r="Y430" s="21">
        <f t="shared" si="19"/>
        <v>1</v>
      </c>
      <c r="Z430" s="21" t="str">
        <f t="shared" si="19"/>
        <v/>
      </c>
      <c r="AA430" s="21" t="str">
        <f t="shared" si="19"/>
        <v/>
      </c>
    </row>
    <row r="431" spans="22:27">
      <c r="V431" s="816">
        <v>96</v>
      </c>
      <c r="W431" s="223" t="s">
        <v>936</v>
      </c>
      <c r="X431" s="21" t="str">
        <f t="shared" si="19"/>
        <v/>
      </c>
      <c r="Y431" s="21">
        <f t="shared" si="19"/>
        <v>1</v>
      </c>
      <c r="Z431" s="21" t="str">
        <f t="shared" si="19"/>
        <v/>
      </c>
      <c r="AA431" s="21" t="str">
        <f t="shared" si="19"/>
        <v/>
      </c>
    </row>
    <row r="432" spans="22:27">
      <c r="V432" s="816">
        <v>97</v>
      </c>
      <c r="W432" s="223" t="s">
        <v>936</v>
      </c>
      <c r="X432" s="21" t="str">
        <f t="shared" si="19"/>
        <v/>
      </c>
      <c r="Y432" s="21">
        <f t="shared" si="19"/>
        <v>1</v>
      </c>
      <c r="Z432" s="21" t="str">
        <f t="shared" si="19"/>
        <v/>
      </c>
      <c r="AA432" s="21" t="str">
        <f t="shared" si="19"/>
        <v/>
      </c>
    </row>
    <row r="433" spans="22:27">
      <c r="V433" s="816">
        <v>98</v>
      </c>
      <c r="W433" s="223" t="s">
        <v>936</v>
      </c>
      <c r="X433" s="21" t="str">
        <f t="shared" si="19"/>
        <v/>
      </c>
      <c r="Y433" s="21">
        <f t="shared" si="19"/>
        <v>1</v>
      </c>
      <c r="Z433" s="21" t="str">
        <f t="shared" si="19"/>
        <v/>
      </c>
      <c r="AA433" s="21" t="str">
        <f t="shared" si="19"/>
        <v/>
      </c>
    </row>
    <row r="434" spans="22:27">
      <c r="V434" s="816">
        <v>99</v>
      </c>
      <c r="W434" s="223" t="s">
        <v>936</v>
      </c>
      <c r="X434" s="21" t="str">
        <f t="shared" si="19"/>
        <v/>
      </c>
      <c r="Y434" s="21">
        <f t="shared" si="19"/>
        <v>1</v>
      </c>
      <c r="Z434" s="21" t="str">
        <f t="shared" si="19"/>
        <v/>
      </c>
      <c r="AA434" s="21" t="str">
        <f t="shared" si="19"/>
        <v/>
      </c>
    </row>
    <row r="435" spans="22:27">
      <c r="V435" s="816">
        <v>100</v>
      </c>
      <c r="W435" s="223" t="s">
        <v>936</v>
      </c>
      <c r="X435" s="21" t="str">
        <f t="shared" si="19"/>
        <v/>
      </c>
      <c r="Y435" s="21">
        <f t="shared" si="19"/>
        <v>1</v>
      </c>
      <c r="Z435" s="21" t="str">
        <f t="shared" si="19"/>
        <v/>
      </c>
      <c r="AA435" s="21" t="str">
        <f t="shared" si="19"/>
        <v/>
      </c>
    </row>
    <row r="436" spans="22:27">
      <c r="V436" s="816">
        <v>101</v>
      </c>
      <c r="W436" s="223" t="s">
        <v>936</v>
      </c>
      <c r="X436" s="21" t="str">
        <f t="shared" si="19"/>
        <v/>
      </c>
      <c r="Y436" s="21">
        <f t="shared" si="19"/>
        <v>1</v>
      </c>
      <c r="Z436" s="21" t="str">
        <f t="shared" si="19"/>
        <v/>
      </c>
      <c r="AA436" s="21" t="str">
        <f t="shared" si="19"/>
        <v/>
      </c>
    </row>
    <row r="437" spans="22:27">
      <c r="V437" s="816">
        <v>102</v>
      </c>
      <c r="W437" s="223" t="s">
        <v>936</v>
      </c>
      <c r="X437" s="21" t="str">
        <f t="shared" si="19"/>
        <v/>
      </c>
      <c r="Y437" s="21">
        <f t="shared" si="19"/>
        <v>1</v>
      </c>
      <c r="Z437" s="21" t="str">
        <f t="shared" si="19"/>
        <v/>
      </c>
      <c r="AA437" s="21" t="str">
        <f t="shared" si="19"/>
        <v/>
      </c>
    </row>
    <row r="438" spans="22:27">
      <c r="V438" s="816">
        <v>103</v>
      </c>
      <c r="W438" s="223" t="s">
        <v>936</v>
      </c>
      <c r="X438" s="21" t="str">
        <f t="shared" si="19"/>
        <v/>
      </c>
      <c r="Y438" s="21">
        <f t="shared" si="19"/>
        <v>1</v>
      </c>
      <c r="Z438" s="21" t="str">
        <f t="shared" si="19"/>
        <v/>
      </c>
      <c r="AA438" s="21" t="str">
        <f t="shared" si="19"/>
        <v/>
      </c>
    </row>
    <row r="439" spans="22:27">
      <c r="V439" s="816">
        <v>104</v>
      </c>
      <c r="W439" s="223" t="s">
        <v>936</v>
      </c>
      <c r="X439" s="21" t="str">
        <f t="shared" si="19"/>
        <v/>
      </c>
      <c r="Y439" s="21">
        <f t="shared" si="19"/>
        <v>1</v>
      </c>
      <c r="Z439" s="21" t="str">
        <f t="shared" si="19"/>
        <v/>
      </c>
      <c r="AA439" s="21" t="str">
        <f t="shared" si="19"/>
        <v/>
      </c>
    </row>
    <row r="440" spans="22:27">
      <c r="V440" s="816">
        <v>105</v>
      </c>
      <c r="W440" s="223" t="s">
        <v>936</v>
      </c>
      <c r="X440" s="21" t="str">
        <f t="shared" si="19"/>
        <v/>
      </c>
      <c r="Y440" s="21">
        <f t="shared" si="19"/>
        <v>1</v>
      </c>
      <c r="Z440" s="21" t="str">
        <f t="shared" si="19"/>
        <v/>
      </c>
      <c r="AA440" s="21" t="str">
        <f t="shared" si="19"/>
        <v/>
      </c>
    </row>
    <row r="441" spans="22:27">
      <c r="V441" s="816">
        <v>106</v>
      </c>
      <c r="W441" s="223" t="s">
        <v>936</v>
      </c>
      <c r="X441" s="21" t="str">
        <f t="shared" si="19"/>
        <v/>
      </c>
      <c r="Y441" s="21">
        <f t="shared" si="19"/>
        <v>1</v>
      </c>
      <c r="Z441" s="21" t="str">
        <f t="shared" si="19"/>
        <v/>
      </c>
      <c r="AA441" s="21" t="str">
        <f t="shared" si="19"/>
        <v/>
      </c>
    </row>
    <row r="442" spans="22:27">
      <c r="V442" s="816">
        <v>107</v>
      </c>
      <c r="W442" s="223" t="s">
        <v>936</v>
      </c>
      <c r="X442" s="21" t="str">
        <f t="shared" si="19"/>
        <v/>
      </c>
      <c r="Y442" s="21">
        <f t="shared" si="19"/>
        <v>1</v>
      </c>
      <c r="Z442" s="21" t="str">
        <f t="shared" si="19"/>
        <v/>
      </c>
      <c r="AA442" s="21" t="str">
        <f t="shared" si="19"/>
        <v/>
      </c>
    </row>
    <row r="443" spans="22:27">
      <c r="V443" s="816">
        <v>108</v>
      </c>
      <c r="W443" s="223" t="s">
        <v>936</v>
      </c>
      <c r="X443" s="21" t="str">
        <f t="shared" si="19"/>
        <v/>
      </c>
      <c r="Y443" s="21">
        <f t="shared" si="19"/>
        <v>1</v>
      </c>
      <c r="Z443" s="21" t="str">
        <f t="shared" si="19"/>
        <v/>
      </c>
      <c r="AA443" s="21" t="str">
        <f t="shared" si="19"/>
        <v/>
      </c>
    </row>
    <row r="444" spans="22:27">
      <c r="V444" s="816">
        <v>109</v>
      </c>
      <c r="W444" s="223" t="s">
        <v>936</v>
      </c>
      <c r="X444" s="21" t="str">
        <f t="shared" si="19"/>
        <v/>
      </c>
      <c r="Y444" s="21">
        <f t="shared" si="19"/>
        <v>1</v>
      </c>
      <c r="Z444" s="21" t="str">
        <f t="shared" si="19"/>
        <v/>
      </c>
      <c r="AA444" s="21" t="str">
        <f t="shared" si="19"/>
        <v/>
      </c>
    </row>
    <row r="445" spans="22:27">
      <c r="V445" s="816">
        <v>110</v>
      </c>
      <c r="W445" s="223" t="s">
        <v>936</v>
      </c>
      <c r="X445" s="21" t="str">
        <f t="shared" si="19"/>
        <v/>
      </c>
      <c r="Y445" s="21">
        <f t="shared" si="19"/>
        <v>1</v>
      </c>
      <c r="Z445" s="21" t="str">
        <f t="shared" si="19"/>
        <v/>
      </c>
      <c r="AA445" s="21" t="str">
        <f t="shared" si="19"/>
        <v/>
      </c>
    </row>
    <row r="446" spans="22:27">
      <c r="V446" s="816">
        <v>111</v>
      </c>
      <c r="W446" s="223" t="s">
        <v>936</v>
      </c>
      <c r="X446" s="21" t="str">
        <f t="shared" si="19"/>
        <v/>
      </c>
      <c r="Y446" s="21">
        <f t="shared" si="19"/>
        <v>1</v>
      </c>
      <c r="Z446" s="21" t="str">
        <f t="shared" si="19"/>
        <v/>
      </c>
      <c r="AA446" s="21" t="str">
        <f t="shared" si="19"/>
        <v/>
      </c>
    </row>
    <row r="447" spans="22:27">
      <c r="V447" s="816">
        <v>112</v>
      </c>
      <c r="W447" s="223" t="s">
        <v>936</v>
      </c>
      <c r="X447" s="21" t="str">
        <f t="shared" si="19"/>
        <v/>
      </c>
      <c r="Y447" s="21">
        <f t="shared" si="19"/>
        <v>1</v>
      </c>
      <c r="Z447" s="21" t="str">
        <f t="shared" si="19"/>
        <v/>
      </c>
      <c r="AA447" s="21" t="str">
        <f t="shared" si="19"/>
        <v/>
      </c>
    </row>
    <row r="448" spans="22:27">
      <c r="V448" s="816">
        <v>113</v>
      </c>
      <c r="W448" s="223" t="s">
        <v>936</v>
      </c>
      <c r="X448" s="21" t="str">
        <f t="shared" si="19"/>
        <v/>
      </c>
      <c r="Y448" s="21">
        <f t="shared" si="19"/>
        <v>1</v>
      </c>
      <c r="Z448" s="21" t="str">
        <f t="shared" si="19"/>
        <v/>
      </c>
      <c r="AA448" s="21" t="str">
        <f t="shared" si="19"/>
        <v/>
      </c>
    </row>
    <row r="449" spans="22:27">
      <c r="V449" s="816">
        <v>114</v>
      </c>
      <c r="W449" s="223" t="s">
        <v>936</v>
      </c>
      <c r="X449" s="21" t="str">
        <f t="shared" si="19"/>
        <v/>
      </c>
      <c r="Y449" s="21">
        <f t="shared" si="19"/>
        <v>1</v>
      </c>
      <c r="Z449" s="21" t="str">
        <f t="shared" si="19"/>
        <v/>
      </c>
      <c r="AA449" s="21" t="str">
        <f t="shared" si="19"/>
        <v/>
      </c>
    </row>
    <row r="450" spans="22:27">
      <c r="V450" s="816">
        <v>115</v>
      </c>
      <c r="W450" s="223" t="s">
        <v>936</v>
      </c>
      <c r="X450" s="21" t="str">
        <f t="shared" si="19"/>
        <v/>
      </c>
      <c r="Y450" s="21">
        <f t="shared" si="19"/>
        <v>1</v>
      </c>
      <c r="Z450" s="21" t="str">
        <f t="shared" si="19"/>
        <v/>
      </c>
      <c r="AA450" s="21" t="str">
        <f t="shared" si="19"/>
        <v/>
      </c>
    </row>
    <row r="451" spans="22:27">
      <c r="V451" s="816">
        <v>116</v>
      </c>
      <c r="W451" s="223" t="s">
        <v>936</v>
      </c>
      <c r="X451" s="21" t="str">
        <f t="shared" si="19"/>
        <v/>
      </c>
      <c r="Y451" s="21">
        <f t="shared" si="19"/>
        <v>1</v>
      </c>
      <c r="Z451" s="21" t="str">
        <f t="shared" si="19"/>
        <v/>
      </c>
      <c r="AA451" s="21" t="str">
        <f t="shared" si="19"/>
        <v/>
      </c>
    </row>
    <row r="452" spans="22:27">
      <c r="V452" s="816">
        <v>117</v>
      </c>
      <c r="W452" s="223" t="s">
        <v>936</v>
      </c>
      <c r="X452" s="21" t="str">
        <f t="shared" si="19"/>
        <v/>
      </c>
      <c r="Y452" s="21">
        <f t="shared" si="19"/>
        <v>1</v>
      </c>
      <c r="Z452" s="21" t="str">
        <f t="shared" si="19"/>
        <v/>
      </c>
      <c r="AA452" s="21" t="str">
        <f t="shared" si="19"/>
        <v/>
      </c>
    </row>
    <row r="453" spans="22:27">
      <c r="V453" s="816">
        <v>118</v>
      </c>
      <c r="W453" s="223" t="s">
        <v>936</v>
      </c>
      <c r="X453" s="21" t="str">
        <f t="shared" si="19"/>
        <v/>
      </c>
      <c r="Y453" s="21">
        <f t="shared" si="19"/>
        <v>1</v>
      </c>
      <c r="Z453" s="21" t="str">
        <f t="shared" si="19"/>
        <v/>
      </c>
      <c r="AA453" s="21" t="str">
        <f t="shared" si="19"/>
        <v/>
      </c>
    </row>
    <row r="454" spans="22:27">
      <c r="V454" s="816">
        <v>119</v>
      </c>
      <c r="W454" s="223" t="s">
        <v>936</v>
      </c>
      <c r="X454" s="21" t="str">
        <f t="shared" si="19"/>
        <v/>
      </c>
      <c r="Y454" s="21">
        <f t="shared" si="19"/>
        <v>1</v>
      </c>
      <c r="Z454" s="21" t="str">
        <f t="shared" si="19"/>
        <v/>
      </c>
      <c r="AA454" s="21" t="str">
        <f t="shared" si="19"/>
        <v/>
      </c>
    </row>
    <row r="455" spans="22:27">
      <c r="V455" s="816">
        <v>120</v>
      </c>
      <c r="W455" s="223" t="s">
        <v>936</v>
      </c>
      <c r="X455" s="21" t="str">
        <f t="shared" si="19"/>
        <v/>
      </c>
      <c r="Y455" s="21">
        <f t="shared" si="19"/>
        <v>1</v>
      </c>
      <c r="Z455" s="21" t="str">
        <f t="shared" si="19"/>
        <v/>
      </c>
      <c r="AA455" s="21" t="str">
        <f t="shared" si="19"/>
        <v/>
      </c>
    </row>
    <row r="456" spans="22:27">
      <c r="V456" s="816">
        <v>121</v>
      </c>
      <c r="W456" s="223" t="s">
        <v>936</v>
      </c>
      <c r="X456" s="21" t="str">
        <f t="shared" si="19"/>
        <v/>
      </c>
      <c r="Y456" s="21">
        <f t="shared" si="19"/>
        <v>1</v>
      </c>
      <c r="Z456" s="21" t="str">
        <f t="shared" si="19"/>
        <v/>
      </c>
      <c r="AA456" s="21" t="str">
        <f t="shared" si="19"/>
        <v/>
      </c>
    </row>
    <row r="457" spans="22:27">
      <c r="V457" s="816">
        <v>122</v>
      </c>
      <c r="W457" s="223" t="s">
        <v>936</v>
      </c>
      <c r="X457" s="21" t="str">
        <f t="shared" si="19"/>
        <v/>
      </c>
      <c r="Y457" s="21">
        <f t="shared" si="19"/>
        <v>1</v>
      </c>
      <c r="Z457" s="21" t="str">
        <f t="shared" si="19"/>
        <v/>
      </c>
      <c r="AA457" s="21" t="str">
        <f t="shared" si="19"/>
        <v/>
      </c>
    </row>
    <row r="458" spans="22:27">
      <c r="V458" s="816">
        <v>123</v>
      </c>
      <c r="W458" s="223" t="s">
        <v>936</v>
      </c>
      <c r="X458" s="21" t="str">
        <f t="shared" si="19"/>
        <v/>
      </c>
      <c r="Y458" s="21">
        <f t="shared" si="19"/>
        <v>1</v>
      </c>
      <c r="Z458" s="21" t="str">
        <f t="shared" si="19"/>
        <v/>
      </c>
      <c r="AA458" s="21" t="str">
        <f t="shared" si="19"/>
        <v/>
      </c>
    </row>
    <row r="459" spans="22:27">
      <c r="V459" s="816">
        <v>124</v>
      </c>
      <c r="W459" s="223" t="s">
        <v>936</v>
      </c>
      <c r="X459" s="21" t="str">
        <f t="shared" si="19"/>
        <v/>
      </c>
      <c r="Y459" s="21">
        <f t="shared" si="19"/>
        <v>1</v>
      </c>
      <c r="Z459" s="21" t="str">
        <f t="shared" si="19"/>
        <v/>
      </c>
      <c r="AA459" s="21" t="str">
        <f t="shared" si="19"/>
        <v/>
      </c>
    </row>
    <row r="460" spans="22:27">
      <c r="V460" s="816">
        <v>125</v>
      </c>
      <c r="W460" s="223" t="s">
        <v>936</v>
      </c>
      <c r="X460" s="21" t="str">
        <f t="shared" si="19"/>
        <v/>
      </c>
      <c r="Y460" s="21">
        <f t="shared" si="19"/>
        <v>1</v>
      </c>
      <c r="Z460" s="21" t="str">
        <f t="shared" si="19"/>
        <v/>
      </c>
      <c r="AA460" s="21" t="str">
        <f t="shared" si="19"/>
        <v/>
      </c>
    </row>
    <row r="461" spans="22:27">
      <c r="V461" s="816">
        <v>126</v>
      </c>
      <c r="W461" s="223" t="s">
        <v>936</v>
      </c>
      <c r="X461" s="21" t="str">
        <f t="shared" si="19"/>
        <v/>
      </c>
      <c r="Y461" s="21">
        <f t="shared" si="19"/>
        <v>1</v>
      </c>
      <c r="Z461" s="21" t="str">
        <f t="shared" si="19"/>
        <v/>
      </c>
      <c r="AA461" s="21" t="str">
        <f t="shared" si="19"/>
        <v/>
      </c>
    </row>
    <row r="462" spans="22:27">
      <c r="V462" s="816">
        <v>127</v>
      </c>
      <c r="W462" s="223" t="s">
        <v>936</v>
      </c>
      <c r="X462" s="21" t="str">
        <f t="shared" si="19"/>
        <v/>
      </c>
      <c r="Y462" s="21">
        <f t="shared" si="19"/>
        <v>1</v>
      </c>
      <c r="Z462" s="21" t="str">
        <f t="shared" si="19"/>
        <v/>
      </c>
      <c r="AA462" s="21" t="str">
        <f t="shared" si="19"/>
        <v/>
      </c>
    </row>
    <row r="463" spans="22:27">
      <c r="V463" s="816">
        <v>128</v>
      </c>
      <c r="W463" s="223" t="s">
        <v>936</v>
      </c>
      <c r="X463" s="21" t="str">
        <f t="shared" si="19"/>
        <v/>
      </c>
      <c r="Y463" s="21">
        <f t="shared" si="19"/>
        <v>1</v>
      </c>
      <c r="Z463" s="21" t="str">
        <f t="shared" si="19"/>
        <v/>
      </c>
      <c r="AA463" s="21" t="str">
        <f t="shared" si="19"/>
        <v/>
      </c>
    </row>
    <row r="464" spans="22:27">
      <c r="V464" s="816">
        <v>129</v>
      </c>
      <c r="W464" s="223" t="s">
        <v>936</v>
      </c>
      <c r="X464" s="21" t="str">
        <f t="shared" si="19"/>
        <v/>
      </c>
      <c r="Y464" s="21">
        <f t="shared" si="19"/>
        <v>1</v>
      </c>
      <c r="Z464" s="21" t="str">
        <f t="shared" si="19"/>
        <v/>
      </c>
      <c r="AA464" s="21" t="str">
        <f t="shared" si="19"/>
        <v/>
      </c>
    </row>
    <row r="465" spans="22:27">
      <c r="V465" s="816">
        <v>130</v>
      </c>
      <c r="W465" s="223" t="s">
        <v>936</v>
      </c>
      <c r="X465" s="21" t="str">
        <f t="shared" si="19"/>
        <v/>
      </c>
      <c r="Y465" s="21">
        <f t="shared" si="19"/>
        <v>1</v>
      </c>
      <c r="Z465" s="21" t="str">
        <f t="shared" si="19"/>
        <v/>
      </c>
      <c r="AA465" s="21" t="str">
        <f t="shared" si="19"/>
        <v/>
      </c>
    </row>
    <row r="466" spans="22:27">
      <c r="V466" s="816">
        <v>131</v>
      </c>
      <c r="W466" s="223" t="s">
        <v>936</v>
      </c>
      <c r="X466" s="21" t="str">
        <f t="shared" si="19"/>
        <v/>
      </c>
      <c r="Y466" s="21">
        <f t="shared" si="19"/>
        <v>1</v>
      </c>
      <c r="Z466" s="21" t="str">
        <f t="shared" si="19"/>
        <v/>
      </c>
      <c r="AA466" s="21" t="str">
        <f t="shared" si="19"/>
        <v/>
      </c>
    </row>
    <row r="467" spans="22:27">
      <c r="V467" s="816"/>
      <c r="W467" s="223"/>
    </row>
    <row r="468" spans="22:27">
      <c r="V468" s="816"/>
      <c r="W468" s="223"/>
    </row>
    <row r="469" spans="22:27">
      <c r="V469" s="816"/>
      <c r="W469" s="223"/>
    </row>
    <row r="470" spans="22:27">
      <c r="V470" s="816"/>
      <c r="W470" s="223"/>
    </row>
    <row r="471" spans="22:27">
      <c r="V471" s="816"/>
      <c r="W471" s="223"/>
    </row>
    <row r="472" spans="22:27">
      <c r="V472" s="816"/>
      <c r="W472" s="223"/>
    </row>
    <row r="473" spans="22:27">
      <c r="V473" s="816"/>
      <c r="W473" s="223"/>
    </row>
    <row r="474" spans="22:27">
      <c r="V474" s="816"/>
      <c r="W474" s="223"/>
    </row>
    <row r="475" spans="22:27">
      <c r="V475" s="816"/>
      <c r="W475" s="223"/>
    </row>
    <row r="476" spans="22:27">
      <c r="V476" s="816"/>
      <c r="W476" s="223"/>
    </row>
    <row r="477" spans="22:27">
      <c r="V477" s="816"/>
      <c r="W477" s="223"/>
    </row>
    <row r="478" spans="22:27">
      <c r="V478" s="816"/>
      <c r="W478" s="223"/>
    </row>
    <row r="479" spans="22:27">
      <c r="V479" s="816"/>
      <c r="W479" s="223"/>
    </row>
    <row r="480" spans="22:27">
      <c r="V480" s="816"/>
      <c r="W480" s="223"/>
    </row>
    <row r="481" spans="22:23">
      <c r="V481" s="816"/>
      <c r="W481" s="223"/>
    </row>
    <row r="482" spans="22:23">
      <c r="V482" s="816"/>
      <c r="W482" s="223"/>
    </row>
    <row r="483" spans="22:23">
      <c r="V483" s="816"/>
      <c r="W483" s="223"/>
    </row>
    <row r="484" spans="22:23">
      <c r="V484" s="816"/>
      <c r="W484" s="223"/>
    </row>
    <row r="485" spans="22:23">
      <c r="V485" s="816"/>
      <c r="W485" s="223"/>
    </row>
    <row r="486" spans="22:23">
      <c r="V486" s="816"/>
      <c r="W486" s="223"/>
    </row>
    <row r="487" spans="22:23">
      <c r="V487" s="816"/>
      <c r="W487" s="223"/>
    </row>
    <row r="488" spans="22:23">
      <c r="V488" s="816"/>
      <c r="W488" s="223"/>
    </row>
    <row r="489" spans="22:23">
      <c r="V489" s="816"/>
      <c r="W489" s="223"/>
    </row>
    <row r="490" spans="22:23">
      <c r="V490" s="816"/>
      <c r="W490" s="223"/>
    </row>
    <row r="491" spans="22:23">
      <c r="V491" s="816"/>
      <c r="W491" s="223"/>
    </row>
    <row r="492" spans="22:23">
      <c r="V492" s="816"/>
      <c r="W492" s="223"/>
    </row>
    <row r="493" spans="22:23">
      <c r="V493" s="816"/>
      <c r="W493" s="223"/>
    </row>
    <row r="494" spans="22:23">
      <c r="V494" s="816"/>
      <c r="W494" s="223"/>
    </row>
    <row r="495" spans="22:23">
      <c r="V495" s="816"/>
      <c r="W495" s="223"/>
    </row>
    <row r="496" spans="22:23">
      <c r="V496" s="816"/>
      <c r="W496" s="223"/>
    </row>
    <row r="497" spans="22:27">
      <c r="V497" s="816"/>
      <c r="W497" s="223"/>
    </row>
    <row r="498" spans="22:27">
      <c r="V498" s="816"/>
      <c r="W498" s="223"/>
    </row>
    <row r="499" spans="22:27">
      <c r="V499" s="816"/>
      <c r="W499" s="223"/>
    </row>
    <row r="500" spans="22:27">
      <c r="V500" s="816"/>
      <c r="W500" s="223"/>
    </row>
    <row r="501" spans="22:27">
      <c r="V501" s="816"/>
      <c r="W501" s="223"/>
    </row>
    <row r="502" spans="22:27">
      <c r="V502" s="816"/>
      <c r="W502" s="223"/>
    </row>
    <row r="503" spans="22:27">
      <c r="V503" s="816"/>
      <c r="W503" s="223"/>
    </row>
    <row r="504" spans="22:27">
      <c r="V504" s="816"/>
      <c r="W504" s="223"/>
    </row>
    <row r="505" spans="22:27">
      <c r="V505" s="816"/>
      <c r="W505" s="223"/>
    </row>
    <row r="506" spans="22:27">
      <c r="V506" s="816"/>
      <c r="W506" s="223"/>
    </row>
    <row r="507" spans="22:27">
      <c r="V507" s="816"/>
      <c r="W507" s="223"/>
      <c r="X507" s="23"/>
      <c r="Y507" s="23"/>
      <c r="Z507" s="23"/>
    </row>
    <row r="508" spans="22:27">
      <c r="V508" s="819" t="s">
        <v>188</v>
      </c>
      <c r="W508" s="225"/>
      <c r="X508" s="226">
        <f>SUM(X6:X507)</f>
        <v>150</v>
      </c>
      <c r="Y508" s="226">
        <f>SUM(Y6:Y507)</f>
        <v>227</v>
      </c>
      <c r="Z508" s="226">
        <f>SUM(Z6:Z507)</f>
        <v>26</v>
      </c>
      <c r="AA508" s="226">
        <f>SUM(AA6:AA507)</f>
        <v>42</v>
      </c>
    </row>
    <row r="509" spans="22:27">
      <c r="AA509" s="11"/>
    </row>
    <row r="517" spans="22:27">
      <c r="V517" s="560"/>
      <c r="W517" s="1"/>
      <c r="X517" s="81" t="s">
        <v>181</v>
      </c>
      <c r="Y517" s="81" t="s">
        <v>223</v>
      </c>
      <c r="Z517" s="81"/>
      <c r="AA517" s="1"/>
    </row>
    <row r="518" spans="22:27">
      <c r="V518" s="560"/>
      <c r="W518" s="1"/>
      <c r="X518" s="81" t="s">
        <v>183</v>
      </c>
      <c r="Y518" s="81"/>
      <c r="Z518" s="81" t="s">
        <v>224</v>
      </c>
      <c r="AA518" s="1" t="s">
        <v>192</v>
      </c>
    </row>
    <row r="519" spans="22:27">
      <c r="V519" s="560" t="s">
        <v>26</v>
      </c>
      <c r="W519" s="1" t="s">
        <v>184</v>
      </c>
      <c r="X519" s="81" t="s">
        <v>185</v>
      </c>
      <c r="Y519" s="81" t="s">
        <v>187</v>
      </c>
      <c r="Z519" s="81" t="s">
        <v>186</v>
      </c>
      <c r="AA519" s="1"/>
    </row>
    <row r="520" spans="22:27">
      <c r="V520" s="816"/>
      <c r="W520" s="21"/>
      <c r="X520" s="21"/>
      <c r="Y520" s="21"/>
      <c r="Z520" s="21"/>
      <c r="AA520" s="223"/>
    </row>
    <row r="521" spans="22:27">
      <c r="V521" s="816"/>
      <c r="W521" s="21"/>
      <c r="X521" s="21"/>
      <c r="Y521" s="21"/>
      <c r="Z521" s="21"/>
      <c r="AA521" s="223"/>
    </row>
    <row r="522" spans="22:27">
      <c r="V522" s="816"/>
      <c r="W522" s="21"/>
      <c r="X522" s="21"/>
      <c r="Y522" s="21"/>
      <c r="Z522" s="21"/>
      <c r="AA522" s="223"/>
    </row>
    <row r="523" spans="22:27">
      <c r="V523" s="816"/>
      <c r="W523" s="21"/>
      <c r="X523" s="21"/>
      <c r="Y523" s="21"/>
      <c r="Z523" s="21"/>
      <c r="AA523" s="223"/>
    </row>
    <row r="524" spans="22:27">
      <c r="V524" s="816"/>
      <c r="W524" s="21"/>
      <c r="X524" s="21"/>
      <c r="Y524" s="21"/>
      <c r="Z524" s="21"/>
      <c r="AA524" s="223"/>
    </row>
    <row r="525" spans="22:27">
      <c r="V525" s="816"/>
      <c r="W525" s="21"/>
      <c r="X525" s="21"/>
      <c r="Y525" s="21"/>
      <c r="Z525" s="21"/>
      <c r="AA525" s="223"/>
    </row>
    <row r="526" spans="22:27">
      <c r="V526" s="816"/>
      <c r="W526" s="21"/>
      <c r="X526" s="21"/>
      <c r="Y526" s="21"/>
      <c r="Z526" s="21"/>
      <c r="AA526" s="223"/>
    </row>
    <row r="527" spans="22:27">
      <c r="V527" s="816"/>
      <c r="W527" s="21"/>
      <c r="X527" s="21"/>
      <c r="Y527" s="21"/>
      <c r="Z527" s="21"/>
      <c r="AA527" s="223"/>
    </row>
    <row r="528" spans="22:27">
      <c r="V528" s="816"/>
      <c r="W528" s="21"/>
      <c r="X528" s="21"/>
      <c r="Y528" s="21"/>
      <c r="Z528" s="21"/>
      <c r="AA528" s="223"/>
    </row>
    <row r="529" spans="22:27">
      <c r="V529" s="816"/>
      <c r="W529" s="21"/>
      <c r="X529" s="21"/>
      <c r="Y529" s="21"/>
      <c r="Z529" s="21"/>
      <c r="AA529" s="223"/>
    </row>
    <row r="530" spans="22:27">
      <c r="V530" s="816"/>
      <c r="W530" s="21"/>
      <c r="X530" s="21"/>
      <c r="Y530" s="21"/>
      <c r="Z530" s="21"/>
      <c r="AA530" s="223"/>
    </row>
    <row r="531" spans="22:27">
      <c r="V531" s="816"/>
      <c r="W531" s="21"/>
      <c r="X531" s="21"/>
      <c r="Y531" s="21"/>
      <c r="Z531" s="21"/>
      <c r="AA531" s="223"/>
    </row>
    <row r="532" spans="22:27">
      <c r="V532" s="816"/>
      <c r="W532" s="21"/>
      <c r="X532" s="21"/>
      <c r="Y532" s="21"/>
      <c r="Z532" s="21"/>
      <c r="AA532" s="223"/>
    </row>
    <row r="533" spans="22:27">
      <c r="V533" s="816"/>
      <c r="W533" s="21"/>
      <c r="X533" s="21"/>
      <c r="Y533" s="21"/>
      <c r="Z533" s="21"/>
      <c r="AA533" s="223"/>
    </row>
    <row r="534" spans="22:27">
      <c r="V534" s="816"/>
      <c r="W534" s="21"/>
      <c r="X534" s="21"/>
      <c r="Y534" s="21"/>
      <c r="Z534" s="21"/>
      <c r="AA534" s="223"/>
    </row>
    <row r="535" spans="22:27">
      <c r="V535" s="816"/>
      <c r="W535" s="21"/>
      <c r="X535" s="21"/>
      <c r="Y535" s="21"/>
      <c r="Z535" s="21"/>
      <c r="AA535" s="223"/>
    </row>
    <row r="536" spans="22:27">
      <c r="V536" s="816"/>
      <c r="W536" s="21"/>
      <c r="X536" s="21"/>
      <c r="Y536" s="21"/>
      <c r="Z536" s="21"/>
      <c r="AA536" s="223"/>
    </row>
    <row r="537" spans="22:27">
      <c r="V537" s="816"/>
      <c r="W537" s="21"/>
      <c r="X537" s="21"/>
      <c r="Y537" s="21"/>
      <c r="Z537" s="21"/>
      <c r="AA537" s="223"/>
    </row>
    <row r="539" spans="22:27" ht="16" thickBot="1">
      <c r="X539" s="229">
        <f>SUM(X520:X538)</f>
        <v>0</v>
      </c>
      <c r="Y539" s="229">
        <f>SUM(Y520:Y538)</f>
        <v>0</v>
      </c>
      <c r="Z539" s="229">
        <f>SUM(Z520:Z538)</f>
        <v>0</v>
      </c>
      <c r="AA539" s="229">
        <f>SUM(AA520:AA538)</f>
        <v>0</v>
      </c>
    </row>
    <row r="540" spans="22:27" ht="16" thickTop="1"/>
  </sheetData>
  <mergeCells count="19">
    <mergeCell ref="J5:J8"/>
    <mergeCell ref="H2:I2"/>
    <mergeCell ref="AE5:AL5"/>
    <mergeCell ref="AE6:AI6"/>
    <mergeCell ref="AJ6:AJ7"/>
    <mergeCell ref="AK6:AK7"/>
    <mergeCell ref="AL6:AL7"/>
    <mergeCell ref="L5:S5"/>
    <mergeCell ref="Q6:Q7"/>
    <mergeCell ref="R6:R7"/>
    <mergeCell ref="S6:S7"/>
    <mergeCell ref="L6:M6"/>
    <mergeCell ref="N6:O6"/>
    <mergeCell ref="P6:P7"/>
    <mergeCell ref="A5:A8"/>
    <mergeCell ref="B5:F8"/>
    <mergeCell ref="G5:G8"/>
    <mergeCell ref="H5:H8"/>
    <mergeCell ref="I5:I8"/>
  </mergeCells>
  <printOptions horizontalCentered="1"/>
  <pageMargins left="0.261811024" right="0.511811023622047" top="0.55118110236220497" bottom="0.55118110236220497" header="0.31496062992126" footer="0.31496062992126"/>
  <pageSetup paperSize="9" scale="33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6" tint="0.39997558519241921"/>
    <pageSetUpPr fitToPage="1"/>
  </sheetPr>
  <dimension ref="A1:AC540"/>
  <sheetViews>
    <sheetView topLeftCell="D1" workbookViewId="0">
      <selection activeCell="L1" sqref="L1:O1048576"/>
    </sheetView>
  </sheetViews>
  <sheetFormatPr baseColWidth="10" defaultColWidth="8.83203125" defaultRowHeight="15"/>
  <cols>
    <col min="1" max="1" width="4" customWidth="1"/>
    <col min="2" max="2" width="3.5" customWidth="1"/>
    <col min="3" max="3" width="6.83203125" customWidth="1"/>
    <col min="4" max="4" width="35.6640625" customWidth="1"/>
    <col min="5" max="5" width="5.1640625" customWidth="1"/>
    <col min="6" max="6" width="11" customWidth="1"/>
    <col min="7" max="7" width="24.33203125" bestFit="1" customWidth="1"/>
    <col min="8" max="8" width="4.6640625" bestFit="1" customWidth="1"/>
    <col min="9" max="9" width="9.1640625" bestFit="1" customWidth="1"/>
    <col min="10" max="10" width="12.6640625" bestFit="1" customWidth="1"/>
    <col min="11" max="11" width="3.1640625" customWidth="1"/>
    <col min="12" max="12" width="14.1640625" hidden="1" customWidth="1"/>
    <col min="13" max="13" width="14" hidden="1" customWidth="1"/>
    <col min="14" max="19" width="4.6640625" hidden="1" customWidth="1"/>
    <col min="20" max="20" width="0" hidden="1" customWidth="1"/>
    <col min="21" max="21" width="16.6640625" style="22" bestFit="1" customWidth="1"/>
    <col min="22" max="22" width="13.5" style="22" customWidth="1"/>
    <col min="23" max="23" width="13.5" customWidth="1"/>
    <col min="24" max="26" width="13.5" style="11" customWidth="1"/>
    <col min="27" max="27" width="13.5" customWidth="1"/>
    <col min="28" max="28" width="12.5" customWidth="1"/>
    <col min="29" max="29" width="12.1640625" customWidth="1"/>
  </cols>
  <sheetData>
    <row r="1" spans="1:29" s="1" customFormat="1">
      <c r="U1" s="560"/>
      <c r="V1" s="560"/>
      <c r="X1" s="81"/>
      <c r="Y1" s="81"/>
      <c r="Z1" s="81"/>
    </row>
    <row r="2" spans="1:29" s="1" customFormat="1" ht="15" customHeight="1">
      <c r="B2" s="1" t="str">
        <f>'Breakdown Summary'!B2</f>
        <v>Trows Farm, Castleton</v>
      </c>
      <c r="G2" s="1" t="str">
        <f>'Breakdown Summary'!G2</f>
        <v>Date</v>
      </c>
      <c r="H2" s="1045">
        <f>'Breakdown Summary'!H2</f>
        <v>45453</v>
      </c>
      <c r="I2" s="1045"/>
      <c r="J2" s="1" t="str">
        <f>'Breakdown Summary'!J2</f>
        <v>Ver - 6</v>
      </c>
      <c r="S2" s="49"/>
      <c r="U2" s="560"/>
      <c r="V2" s="560"/>
      <c r="X2" s="81"/>
      <c r="Y2" s="81"/>
      <c r="Z2" s="81"/>
    </row>
    <row r="3" spans="1:29" s="1" customFormat="1">
      <c r="B3" s="1" t="str">
        <f>'Breakdown Summary'!B3</f>
        <v>Cowm Top Lane, Rochdale</v>
      </c>
      <c r="G3" s="1" t="str">
        <f>'Breakdown Summary'!H3</f>
        <v>Breakdown of Abnormal Costs</v>
      </c>
      <c r="U3" s="560" t="s">
        <v>26</v>
      </c>
      <c r="V3" s="560" t="s">
        <v>826</v>
      </c>
      <c r="W3" s="1" t="s">
        <v>824</v>
      </c>
      <c r="X3" s="81" t="s">
        <v>823</v>
      </c>
      <c r="Y3" s="81" t="s">
        <v>822</v>
      </c>
      <c r="Z3" s="81" t="s">
        <v>825</v>
      </c>
      <c r="AA3" s="1" t="s">
        <v>828</v>
      </c>
      <c r="AB3" s="1" t="s">
        <v>832</v>
      </c>
      <c r="AC3" s="1" t="s">
        <v>833</v>
      </c>
    </row>
    <row r="4" spans="1:29" s="1" customFormat="1" ht="15.75" customHeight="1">
      <c r="U4" s="816"/>
      <c r="V4" s="816"/>
      <c r="W4" s="21"/>
      <c r="X4" s="21"/>
      <c r="Y4" s="21"/>
      <c r="Z4" s="21"/>
      <c r="AA4" s="21"/>
    </row>
    <row r="5" spans="1:29" s="1" customFormat="1" ht="15" customHeight="1">
      <c r="A5" s="1046" t="s">
        <v>0</v>
      </c>
      <c r="B5" s="1054" t="s">
        <v>1</v>
      </c>
      <c r="C5" s="1055"/>
      <c r="D5" s="1055"/>
      <c r="E5" s="1055"/>
      <c r="F5" s="1056"/>
      <c r="G5" s="1046" t="s">
        <v>6</v>
      </c>
      <c r="H5" s="1046" t="s">
        <v>5</v>
      </c>
      <c r="I5" s="1046" t="s">
        <v>2</v>
      </c>
      <c r="J5" s="1046" t="s">
        <v>3</v>
      </c>
      <c r="L5" s="1124" t="str">
        <f>'Breakdown Summary'!L5:S5</f>
        <v>Phasing Breakdown</v>
      </c>
      <c r="M5" s="1125"/>
      <c r="N5" s="1125"/>
      <c r="O5" s="1125"/>
      <c r="P5" s="1125"/>
      <c r="Q5" s="1125"/>
      <c r="R5" s="1125"/>
      <c r="S5" s="1126"/>
      <c r="U5" s="816" t="s">
        <v>770</v>
      </c>
      <c r="V5" s="816"/>
      <c r="W5" s="21"/>
      <c r="X5" s="21"/>
      <c r="Y5" s="21"/>
      <c r="Z5" s="21"/>
      <c r="AA5" s="21"/>
    </row>
    <row r="6" spans="1:29" s="1" customFormat="1" ht="14" customHeight="1">
      <c r="A6" s="1047"/>
      <c r="B6" s="1057"/>
      <c r="C6" s="1058"/>
      <c r="D6" s="1058"/>
      <c r="E6" s="1058"/>
      <c r="F6" s="1059"/>
      <c r="G6" s="1047"/>
      <c r="H6" s="1047"/>
      <c r="I6" s="1047"/>
      <c r="J6" s="1047"/>
      <c r="L6" s="1127" t="str">
        <f>'Breakdown Summary'!L6</f>
        <v>Site 1</v>
      </c>
      <c r="M6" s="1128"/>
      <c r="N6" s="1127">
        <f>'Breakdown Summary'!N6</f>
        <v>0</v>
      </c>
      <c r="O6" s="1128"/>
      <c r="P6" s="1063">
        <f>'Breakdown Summary'!P6:P7</f>
        <v>0</v>
      </c>
      <c r="Q6" s="1063">
        <f>'Breakdown Summary'!Q6:Q7</f>
        <v>0</v>
      </c>
      <c r="R6" s="1063">
        <f>'Breakdown Summary'!R6:R7</f>
        <v>0</v>
      </c>
      <c r="S6" s="1063">
        <f>'Breakdown Summary'!S6:S7</f>
        <v>0</v>
      </c>
      <c r="U6" s="816">
        <v>1</v>
      </c>
      <c r="V6" s="816">
        <v>6</v>
      </c>
      <c r="W6" s="21"/>
      <c r="X6" s="21"/>
      <c r="Y6" s="21">
        <v>18</v>
      </c>
      <c r="Z6" s="21"/>
      <c r="AA6" s="21"/>
    </row>
    <row r="7" spans="1:29">
      <c r="A7" s="1047"/>
      <c r="B7" s="1057"/>
      <c r="C7" s="1058"/>
      <c r="D7" s="1058"/>
      <c r="E7" s="1058"/>
      <c r="F7" s="1059"/>
      <c r="G7" s="1047"/>
      <c r="H7" s="1047"/>
      <c r="I7" s="1047"/>
      <c r="J7" s="1047"/>
      <c r="L7" s="59" t="str">
        <f>'Breakdown Summary'!L7</f>
        <v>Barratt</v>
      </c>
      <c r="M7" s="59" t="str">
        <f>'Breakdown Summary'!M7</f>
        <v>David Wilson</v>
      </c>
      <c r="N7" s="59" t="str">
        <f>'Breakdown Summary'!N7</f>
        <v>Phs</v>
      </c>
      <c r="O7" s="59" t="str">
        <f>'Breakdown Summary'!O7</f>
        <v>Phs</v>
      </c>
      <c r="P7" s="1065"/>
      <c r="Q7" s="1065"/>
      <c r="R7" s="1065"/>
      <c r="S7" s="1065"/>
      <c r="U7" s="816">
        <v>2</v>
      </c>
      <c r="V7" s="816">
        <v>6</v>
      </c>
      <c r="W7" s="21"/>
      <c r="X7" s="21"/>
      <c r="Y7" s="21">
        <v>18</v>
      </c>
      <c r="Z7" s="21">
        <v>18</v>
      </c>
      <c r="AA7" s="21"/>
    </row>
    <row r="8" spans="1:29" s="1" customFormat="1">
      <c r="A8" s="1048"/>
      <c r="B8" s="1060"/>
      <c r="C8" s="1061"/>
      <c r="D8" s="1061"/>
      <c r="E8" s="1061"/>
      <c r="F8" s="1062"/>
      <c r="G8" s="1048"/>
      <c r="H8" s="1048"/>
      <c r="I8" s="1048"/>
      <c r="J8" s="1048"/>
      <c r="L8" s="242">
        <f>'Breakdown Summary'!L13</f>
        <v>19.11</v>
      </c>
      <c r="M8" s="242">
        <f>'Breakdown Summary'!M13</f>
        <v>10.009886307464162</v>
      </c>
      <c r="N8" s="242">
        <f>'Breakdown Summary'!N13</f>
        <v>0</v>
      </c>
      <c r="O8" s="242">
        <f>'Breakdown Summary'!O13</f>
        <v>0</v>
      </c>
      <c r="P8" s="62">
        <f>'Breakdown Summary'!P13</f>
        <v>0</v>
      </c>
      <c r="Q8" s="60"/>
      <c r="R8" s="61"/>
      <c r="S8" s="61"/>
      <c r="U8" s="816">
        <v>3</v>
      </c>
      <c r="V8" s="816"/>
      <c r="W8" s="21"/>
      <c r="X8" s="21">
        <v>18</v>
      </c>
      <c r="Y8" s="21"/>
      <c r="Z8" s="21"/>
      <c r="AA8" s="21"/>
    </row>
    <row r="9" spans="1:29">
      <c r="A9" s="16"/>
      <c r="B9" s="3"/>
      <c r="C9" s="4"/>
      <c r="D9" s="4"/>
      <c r="E9" s="4"/>
      <c r="F9" s="5"/>
      <c r="G9" s="11"/>
      <c r="H9" s="12"/>
      <c r="I9" s="21"/>
      <c r="J9" s="12"/>
      <c r="L9" s="3"/>
      <c r="M9" s="58"/>
      <c r="N9" s="4"/>
      <c r="O9" s="58"/>
      <c r="P9" s="4"/>
      <c r="Q9" s="58"/>
      <c r="R9" s="58"/>
      <c r="S9" s="5"/>
      <c r="U9" s="816">
        <v>4</v>
      </c>
      <c r="V9" s="816"/>
      <c r="W9" s="21"/>
      <c r="X9" s="21"/>
      <c r="Y9" s="21"/>
      <c r="Z9" s="21"/>
      <c r="AA9" s="21"/>
    </row>
    <row r="10" spans="1:29">
      <c r="A10" s="19">
        <v>10</v>
      </c>
      <c r="B10" s="20" t="s">
        <v>165</v>
      </c>
      <c r="F10" s="7"/>
      <c r="G10" s="11"/>
      <c r="H10" s="13"/>
      <c r="I10" s="21"/>
      <c r="J10" s="13"/>
      <c r="L10" s="6"/>
      <c r="M10" s="2"/>
      <c r="O10" s="2"/>
      <c r="Q10" s="2"/>
      <c r="R10" s="2"/>
      <c r="S10" s="7"/>
      <c r="U10" s="816">
        <v>5</v>
      </c>
      <c r="V10" s="816"/>
      <c r="W10" s="21"/>
      <c r="X10" s="21"/>
      <c r="Y10" s="21"/>
      <c r="Z10" s="21"/>
      <c r="AA10" s="21"/>
    </row>
    <row r="11" spans="1:29">
      <c r="A11" s="19"/>
      <c r="B11" s="20"/>
      <c r="F11" s="7"/>
      <c r="G11" s="11"/>
      <c r="H11" s="13"/>
      <c r="I11" s="21"/>
      <c r="J11" s="13"/>
      <c r="L11" s="6"/>
      <c r="M11" s="2"/>
      <c r="O11" s="2"/>
      <c r="Q11" s="2"/>
      <c r="R11" s="2"/>
      <c r="S11" s="7"/>
      <c r="U11" s="816">
        <v>6</v>
      </c>
      <c r="V11" s="816"/>
      <c r="W11" s="21"/>
      <c r="X11" s="21"/>
      <c r="Y11" s="21">
        <v>18</v>
      </c>
      <c r="Z11" s="21"/>
      <c r="AA11" s="21"/>
    </row>
    <row r="12" spans="1:29">
      <c r="A12" s="17"/>
      <c r="B12" s="20"/>
      <c r="C12" t="s">
        <v>166</v>
      </c>
      <c r="F12" s="7"/>
      <c r="G12" s="11"/>
      <c r="H12" s="13"/>
      <c r="I12" s="21"/>
      <c r="J12" s="13"/>
      <c r="L12" s="6"/>
      <c r="M12" s="2"/>
      <c r="O12" s="2"/>
      <c r="Q12" s="2"/>
      <c r="R12" s="2"/>
      <c r="S12" s="7"/>
      <c r="U12" s="816">
        <v>7</v>
      </c>
      <c r="V12" s="816"/>
      <c r="W12" s="21"/>
      <c r="X12" s="21"/>
      <c r="Y12" s="21"/>
      <c r="Z12" s="21">
        <v>18</v>
      </c>
      <c r="AA12" s="21"/>
    </row>
    <row r="13" spans="1:29">
      <c r="A13" s="17"/>
      <c r="D13" s="30"/>
      <c r="E13" s="30"/>
      <c r="F13" s="31"/>
      <c r="G13" s="11"/>
      <c r="H13" s="13"/>
      <c r="I13" s="21"/>
      <c r="J13" s="13"/>
      <c r="L13" s="6"/>
      <c r="M13" s="2"/>
      <c r="O13" s="2"/>
      <c r="Q13" s="2"/>
      <c r="R13" s="2"/>
      <c r="S13" s="7"/>
      <c r="U13" s="816">
        <v>8</v>
      </c>
      <c r="V13" s="816"/>
      <c r="W13" s="21"/>
      <c r="X13" s="21"/>
      <c r="Y13" s="21"/>
      <c r="Z13" s="21"/>
      <c r="AA13" s="21"/>
    </row>
    <row r="14" spans="1:29" ht="16">
      <c r="A14" s="17"/>
      <c r="B14" s="52"/>
      <c r="C14" s="78" t="s">
        <v>128</v>
      </c>
      <c r="D14" s="78"/>
      <c r="E14" s="30"/>
      <c r="F14" s="821">
        <f>W508</f>
        <v>1420</v>
      </c>
      <c r="G14" s="11" t="s">
        <v>4</v>
      </c>
      <c r="H14" s="13"/>
      <c r="I14" s="21"/>
      <c r="J14" s="13"/>
      <c r="L14" s="6"/>
      <c r="M14" s="2"/>
      <c r="O14" s="2"/>
      <c r="Q14" s="2"/>
      <c r="R14" s="2"/>
      <c r="S14" s="7"/>
      <c r="U14" s="816">
        <v>9</v>
      </c>
      <c r="V14" s="816"/>
      <c r="W14" s="21"/>
      <c r="X14" s="21"/>
      <c r="Y14" s="21"/>
      <c r="Z14" s="21"/>
      <c r="AA14" s="21"/>
    </row>
    <row r="15" spans="1:29" ht="16">
      <c r="A15" s="17"/>
      <c r="B15" s="80"/>
      <c r="C15" s="77"/>
      <c r="D15" s="77"/>
      <c r="E15" s="55"/>
      <c r="F15" s="56"/>
      <c r="G15" s="11"/>
      <c r="H15" s="13"/>
      <c r="I15" s="21"/>
      <c r="J15" s="13"/>
      <c r="L15" s="6"/>
      <c r="M15" s="2"/>
      <c r="O15" s="2"/>
      <c r="Q15" s="2"/>
      <c r="R15" s="2"/>
      <c r="S15" s="7"/>
      <c r="U15" s="816">
        <v>10</v>
      </c>
      <c r="V15" s="816"/>
      <c r="W15" s="21"/>
      <c r="X15" s="21">
        <v>14</v>
      </c>
      <c r="Y15" s="21"/>
      <c r="Z15" s="21"/>
      <c r="AA15" s="21"/>
    </row>
    <row r="16" spans="1:29" ht="15" customHeight="1">
      <c r="A16" s="17"/>
      <c r="B16" s="57"/>
      <c r="C16" s="77"/>
      <c r="D16" s="77" t="s">
        <v>115</v>
      </c>
      <c r="E16" s="55"/>
      <c r="F16" s="56"/>
      <c r="G16" s="11">
        <f>F14*1*0.45</f>
        <v>639</v>
      </c>
      <c r="H16" s="13" t="s">
        <v>18</v>
      </c>
      <c r="I16" s="21">
        <v>20</v>
      </c>
      <c r="J16" s="13">
        <f t="shared" ref="J16:J23" si="0">G16*I16</f>
        <v>12780</v>
      </c>
      <c r="L16" s="644">
        <f>J16</f>
        <v>12780</v>
      </c>
      <c r="M16" s="649"/>
      <c r="O16" s="2"/>
      <c r="Q16" s="2"/>
      <c r="R16" s="2"/>
      <c r="S16" s="7"/>
      <c r="U16" s="816" t="s">
        <v>827</v>
      </c>
      <c r="V16" s="816"/>
      <c r="W16" s="21"/>
      <c r="X16" s="21"/>
      <c r="Y16" s="21"/>
      <c r="Z16" s="21"/>
      <c r="AA16" s="21">
        <v>50</v>
      </c>
    </row>
    <row r="17" spans="1:27" ht="16">
      <c r="A17" s="17"/>
      <c r="B17" s="57"/>
      <c r="C17" s="77"/>
      <c r="D17" s="222" t="s">
        <v>167</v>
      </c>
      <c r="E17" s="55"/>
      <c r="F17" s="56"/>
      <c r="G17" s="11">
        <f>G16</f>
        <v>639</v>
      </c>
      <c r="H17" s="13" t="s">
        <v>18</v>
      </c>
      <c r="I17" s="21">
        <v>3.5</v>
      </c>
      <c r="J17" s="13">
        <f t="shared" si="0"/>
        <v>2236.5</v>
      </c>
      <c r="L17" s="644">
        <f t="shared" ref="L17:L49" si="1">J17</f>
        <v>2236.5</v>
      </c>
      <c r="M17" s="649"/>
      <c r="O17" s="2"/>
      <c r="Q17" s="2"/>
      <c r="R17" s="2"/>
      <c r="S17" s="7"/>
      <c r="U17" s="816">
        <v>12</v>
      </c>
      <c r="V17" s="816"/>
      <c r="W17" s="21"/>
      <c r="X17" s="21"/>
      <c r="Y17" s="21"/>
      <c r="Z17" s="21"/>
      <c r="AA17" s="21"/>
    </row>
    <row r="18" spans="1:27" ht="16">
      <c r="A18" s="17"/>
      <c r="B18" s="57"/>
      <c r="C18" s="77"/>
      <c r="D18" s="77" t="s">
        <v>117</v>
      </c>
      <c r="E18" s="55"/>
      <c r="F18" s="56"/>
      <c r="G18" s="11">
        <f>G17*0.25</f>
        <v>159.75</v>
      </c>
      <c r="H18" s="13" t="s">
        <v>18</v>
      </c>
      <c r="I18" s="21">
        <v>95</v>
      </c>
      <c r="J18" s="13">
        <f t="shared" si="0"/>
        <v>15176.25</v>
      </c>
      <c r="L18" s="644">
        <f t="shared" si="1"/>
        <v>15176.25</v>
      </c>
      <c r="M18" s="649"/>
      <c r="O18" s="2"/>
      <c r="Q18" s="2"/>
      <c r="R18" s="2"/>
      <c r="S18" s="7"/>
      <c r="U18" s="816">
        <v>13</v>
      </c>
      <c r="V18" s="816"/>
      <c r="W18" s="21"/>
      <c r="X18" s="21"/>
      <c r="Y18" s="21"/>
      <c r="Z18" s="21"/>
      <c r="AA18" s="21"/>
    </row>
    <row r="19" spans="1:27" ht="16">
      <c r="A19" s="17"/>
      <c r="B19" s="57"/>
      <c r="C19" s="77"/>
      <c r="D19" s="77" t="s">
        <v>118</v>
      </c>
      <c r="E19" s="55"/>
      <c r="F19" s="56"/>
      <c r="G19" s="11">
        <f>F14*0.45</f>
        <v>639</v>
      </c>
      <c r="H19" s="13" t="s">
        <v>39</v>
      </c>
      <c r="I19" s="21">
        <f>35</f>
        <v>35</v>
      </c>
      <c r="J19" s="13">
        <f t="shared" si="0"/>
        <v>22365</v>
      </c>
      <c r="L19" s="644">
        <f t="shared" si="1"/>
        <v>22365</v>
      </c>
      <c r="M19" s="649"/>
      <c r="O19" s="2"/>
      <c r="Q19" s="2"/>
      <c r="R19" s="2"/>
      <c r="S19" s="7"/>
      <c r="U19" s="816">
        <v>14</v>
      </c>
      <c r="V19" s="816"/>
      <c r="W19" s="21"/>
      <c r="X19" s="21"/>
      <c r="Y19" s="21"/>
      <c r="Z19" s="21"/>
      <c r="AA19" s="21"/>
    </row>
    <row r="20" spans="1:27" ht="16">
      <c r="A20" s="17"/>
      <c r="B20" s="57"/>
      <c r="C20" s="77"/>
      <c r="D20" s="77" t="s">
        <v>119</v>
      </c>
      <c r="E20" s="55"/>
      <c r="F20" s="56"/>
      <c r="G20" s="11">
        <v>0</v>
      </c>
      <c r="H20" s="13" t="s">
        <v>4</v>
      </c>
      <c r="I20" s="21">
        <v>17.5</v>
      </c>
      <c r="J20" s="13">
        <f t="shared" si="0"/>
        <v>0</v>
      </c>
      <c r="L20" s="644">
        <f t="shared" si="1"/>
        <v>0</v>
      </c>
      <c r="M20" s="649"/>
      <c r="O20" s="2"/>
      <c r="Q20" s="2"/>
      <c r="R20" s="2"/>
      <c r="S20" s="7"/>
      <c r="U20" s="816">
        <v>15</v>
      </c>
      <c r="V20" s="816"/>
      <c r="W20" s="21"/>
      <c r="X20" s="21">
        <v>20</v>
      </c>
      <c r="Y20" s="21"/>
      <c r="Z20" s="21"/>
      <c r="AA20" s="21"/>
    </row>
    <row r="21" spans="1:27" ht="16">
      <c r="A21" s="17"/>
      <c r="B21" s="57"/>
      <c r="C21" s="77"/>
      <c r="D21" s="77" t="s">
        <v>120</v>
      </c>
      <c r="E21" s="55"/>
      <c r="F21" s="56"/>
      <c r="G21" s="11">
        <f>F14*0.45*0.6</f>
        <v>383.4</v>
      </c>
      <c r="H21" s="13" t="s">
        <v>18</v>
      </c>
      <c r="I21" s="21">
        <v>25</v>
      </c>
      <c r="J21" s="13">
        <f t="shared" si="0"/>
        <v>9585</v>
      </c>
      <c r="L21" s="644">
        <f t="shared" si="1"/>
        <v>9585</v>
      </c>
      <c r="M21" s="649"/>
      <c r="O21" s="2"/>
      <c r="Q21" s="2"/>
      <c r="R21" s="2"/>
      <c r="S21" s="7"/>
      <c r="U21" s="816">
        <v>16</v>
      </c>
      <c r="V21" s="816"/>
      <c r="W21" s="21"/>
      <c r="X21" s="21"/>
      <c r="Y21" s="21"/>
      <c r="Z21" s="21"/>
      <c r="AA21" s="21"/>
    </row>
    <row r="22" spans="1:27" ht="16">
      <c r="A22" s="17"/>
      <c r="B22" s="57"/>
      <c r="C22" s="77"/>
      <c r="D22" s="77" t="s">
        <v>121</v>
      </c>
      <c r="E22" s="55"/>
      <c r="F22" s="56"/>
      <c r="G22" s="11">
        <f>F14*0.75</f>
        <v>1065</v>
      </c>
      <c r="H22" s="13" t="s">
        <v>39</v>
      </c>
      <c r="I22" s="21">
        <f>120*0.6</f>
        <v>72</v>
      </c>
      <c r="J22" s="13">
        <f t="shared" si="0"/>
        <v>76680</v>
      </c>
      <c r="L22" s="644">
        <f t="shared" si="1"/>
        <v>76680</v>
      </c>
      <c r="M22" s="649"/>
      <c r="O22" s="2"/>
      <c r="Q22" s="2"/>
      <c r="R22" s="2"/>
      <c r="S22" s="7"/>
      <c r="U22" s="816">
        <v>17</v>
      </c>
      <c r="V22" s="816"/>
      <c r="W22" s="21"/>
      <c r="X22" s="21"/>
      <c r="Y22" s="21"/>
      <c r="Z22" s="21"/>
      <c r="AA22" s="21"/>
    </row>
    <row r="23" spans="1:27" ht="14.5" customHeight="1">
      <c r="A23" s="17"/>
      <c r="B23" s="57"/>
      <c r="C23" s="77"/>
      <c r="D23" s="77" t="s">
        <v>122</v>
      </c>
      <c r="E23" s="55"/>
      <c r="F23" s="56"/>
      <c r="G23" s="11">
        <f>F14</f>
        <v>1420</v>
      </c>
      <c r="H23" s="13" t="s">
        <v>4</v>
      </c>
      <c r="I23" s="21">
        <v>20</v>
      </c>
      <c r="J23" s="13">
        <f t="shared" si="0"/>
        <v>28400</v>
      </c>
      <c r="L23" s="644">
        <f t="shared" si="1"/>
        <v>28400</v>
      </c>
      <c r="M23" s="649"/>
      <c r="O23" s="2"/>
      <c r="Q23" s="2"/>
      <c r="R23" s="2"/>
      <c r="S23" s="7"/>
      <c r="U23" s="816">
        <v>18</v>
      </c>
      <c r="V23" s="816"/>
      <c r="W23" s="21"/>
      <c r="X23" s="21">
        <v>20</v>
      </c>
      <c r="Y23" s="21"/>
      <c r="Z23" s="21"/>
      <c r="AA23" s="21"/>
    </row>
    <row r="24" spans="1:27">
      <c r="A24" s="17"/>
      <c r="B24" s="57"/>
      <c r="C24" s="55"/>
      <c r="D24" s="55"/>
      <c r="E24" s="55"/>
      <c r="F24" s="56"/>
      <c r="G24" s="11"/>
      <c r="H24" s="13"/>
      <c r="I24" s="21"/>
      <c r="J24" s="13"/>
      <c r="L24" s="644"/>
      <c r="M24" s="649"/>
      <c r="O24" s="2"/>
      <c r="Q24" s="2"/>
      <c r="R24" s="2"/>
      <c r="S24" s="7"/>
      <c r="U24" s="816">
        <v>19</v>
      </c>
      <c r="V24" s="816"/>
      <c r="W24" s="21">
        <v>20</v>
      </c>
      <c r="X24" s="21"/>
      <c r="Y24" s="21"/>
      <c r="Z24" s="21"/>
      <c r="AA24" s="21"/>
    </row>
    <row r="25" spans="1:27" ht="14" customHeight="1">
      <c r="A25" s="17"/>
      <c r="B25" s="57"/>
      <c r="C25" s="55"/>
      <c r="D25" s="55"/>
      <c r="E25" s="55"/>
      <c r="F25" s="56"/>
      <c r="G25" s="11"/>
      <c r="H25" s="13"/>
      <c r="I25" s="21"/>
      <c r="J25" s="13"/>
      <c r="L25" s="644"/>
      <c r="M25" s="649"/>
      <c r="O25" s="2"/>
      <c r="Q25" s="2"/>
      <c r="R25" s="2"/>
      <c r="S25" s="7"/>
      <c r="U25" s="816">
        <v>20</v>
      </c>
      <c r="V25" s="816"/>
      <c r="W25" s="21"/>
      <c r="X25" s="21">
        <v>20</v>
      </c>
      <c r="Y25" s="21"/>
      <c r="Z25" s="21"/>
      <c r="AA25" s="21"/>
    </row>
    <row r="26" spans="1:27">
      <c r="A26" s="17"/>
      <c r="B26" s="57"/>
      <c r="C26" s="55"/>
      <c r="D26" s="55"/>
      <c r="E26" s="55"/>
      <c r="F26" s="31"/>
      <c r="G26" s="11"/>
      <c r="H26" s="13"/>
      <c r="I26" s="21"/>
      <c r="J26" s="13"/>
      <c r="L26" s="644"/>
      <c r="M26" s="649"/>
      <c r="O26" s="2"/>
      <c r="Q26" s="2"/>
      <c r="R26" s="2"/>
      <c r="S26" s="7"/>
      <c r="U26" s="816">
        <v>21</v>
      </c>
      <c r="V26" s="816"/>
      <c r="W26" s="21"/>
      <c r="X26" s="21"/>
      <c r="Y26" s="21">
        <v>20</v>
      </c>
      <c r="Z26" s="21"/>
      <c r="AA26" s="21"/>
    </row>
    <row r="27" spans="1:27" ht="16">
      <c r="A27" s="17"/>
      <c r="B27" s="57"/>
      <c r="C27" s="78" t="s">
        <v>114</v>
      </c>
      <c r="D27" s="78"/>
      <c r="E27" s="78"/>
      <c r="F27" s="821">
        <f>X508</f>
        <v>2033</v>
      </c>
      <c r="G27" s="11" t="s">
        <v>4</v>
      </c>
      <c r="H27" s="13"/>
      <c r="I27" s="21"/>
      <c r="J27" s="13"/>
      <c r="L27" s="644"/>
      <c r="M27" s="649"/>
      <c r="O27" s="2"/>
      <c r="Q27" s="2"/>
      <c r="R27" s="2"/>
      <c r="S27" s="7"/>
      <c r="U27" s="816">
        <v>22</v>
      </c>
      <c r="V27" s="816"/>
      <c r="W27" s="21"/>
      <c r="X27" s="21">
        <v>10</v>
      </c>
      <c r="Y27" s="21"/>
      <c r="Z27" s="21"/>
      <c r="AA27" s="21"/>
    </row>
    <row r="28" spans="1:27" ht="16">
      <c r="A28" s="17"/>
      <c r="B28" s="57"/>
      <c r="C28" s="77"/>
      <c r="D28" s="77"/>
      <c r="E28" s="77"/>
      <c r="F28" s="56"/>
      <c r="G28" s="11"/>
      <c r="H28" s="13"/>
      <c r="I28" s="21"/>
      <c r="J28" s="13"/>
      <c r="L28" s="644"/>
      <c r="M28" s="649"/>
      <c r="O28" s="2"/>
      <c r="Q28" s="2"/>
      <c r="R28" s="2"/>
      <c r="S28" s="7"/>
      <c r="U28" s="816">
        <v>23</v>
      </c>
      <c r="V28" s="816"/>
      <c r="W28" s="21"/>
      <c r="X28" s="21"/>
      <c r="Y28" s="21"/>
      <c r="Z28" s="21"/>
      <c r="AA28" s="21"/>
    </row>
    <row r="29" spans="1:27" ht="16">
      <c r="A29" s="17"/>
      <c r="B29" s="57"/>
      <c r="C29" s="77"/>
      <c r="D29" s="77" t="s">
        <v>115</v>
      </c>
      <c r="E29" s="77"/>
      <c r="F29" s="56"/>
      <c r="G29" s="11">
        <f>F27*1*0.9</f>
        <v>1829.7</v>
      </c>
      <c r="H29" s="13" t="s">
        <v>18</v>
      </c>
      <c r="I29" s="21">
        <v>20</v>
      </c>
      <c r="J29" s="13">
        <f t="shared" ref="J29:J36" si="2">G29*I29</f>
        <v>36594</v>
      </c>
      <c r="L29" s="644">
        <f t="shared" si="1"/>
        <v>36594</v>
      </c>
      <c r="M29" s="649"/>
      <c r="O29" s="2"/>
      <c r="Q29" s="2"/>
      <c r="R29" s="2"/>
      <c r="S29" s="7"/>
      <c r="U29" s="816">
        <v>24</v>
      </c>
      <c r="V29" s="816"/>
      <c r="W29" s="21"/>
      <c r="X29" s="21">
        <v>16</v>
      </c>
      <c r="Y29" s="21"/>
      <c r="Z29" s="21"/>
      <c r="AA29" s="21"/>
    </row>
    <row r="30" spans="1:27" ht="16">
      <c r="A30" s="17"/>
      <c r="B30" s="57"/>
      <c r="C30" s="77"/>
      <c r="D30" s="222" t="s">
        <v>167</v>
      </c>
      <c r="E30" s="77"/>
      <c r="F30" s="56"/>
      <c r="G30" s="11">
        <f>G29</f>
        <v>1829.7</v>
      </c>
      <c r="H30" s="13" t="s">
        <v>18</v>
      </c>
      <c r="I30" s="21">
        <v>3.5</v>
      </c>
      <c r="J30" s="13">
        <f t="shared" si="2"/>
        <v>6403.95</v>
      </c>
      <c r="L30" s="644">
        <f t="shared" si="1"/>
        <v>6403.95</v>
      </c>
      <c r="M30" s="649"/>
      <c r="O30" s="2"/>
      <c r="Q30" s="2"/>
      <c r="R30" s="2"/>
      <c r="S30" s="7"/>
      <c r="U30" s="816">
        <v>25</v>
      </c>
      <c r="V30" s="816"/>
      <c r="W30" s="21"/>
      <c r="X30" s="21"/>
      <c r="Y30" s="21"/>
      <c r="Z30" s="21">
        <v>20</v>
      </c>
      <c r="AA30" s="21"/>
    </row>
    <row r="31" spans="1:27" ht="16">
      <c r="A31" s="17"/>
      <c r="B31" s="57"/>
      <c r="C31" s="77"/>
      <c r="D31" s="77" t="s">
        <v>117</v>
      </c>
      <c r="E31" s="77"/>
      <c r="F31" s="56"/>
      <c r="G31" s="11">
        <f>G30*0.25</f>
        <v>457.42500000000001</v>
      </c>
      <c r="H31" s="13" t="s">
        <v>18</v>
      </c>
      <c r="I31" s="21">
        <v>135</v>
      </c>
      <c r="J31" s="13">
        <f t="shared" si="2"/>
        <v>61752.375</v>
      </c>
      <c r="L31" s="644">
        <f t="shared" si="1"/>
        <v>61752.375</v>
      </c>
      <c r="M31" s="649"/>
      <c r="O31" s="2"/>
      <c r="Q31" s="2"/>
      <c r="R31" s="2"/>
      <c r="S31" s="7"/>
      <c r="U31" s="816">
        <v>26</v>
      </c>
      <c r="V31" s="816"/>
      <c r="W31" s="21"/>
      <c r="X31" s="21"/>
      <c r="Y31" s="21">
        <v>20</v>
      </c>
      <c r="Z31" s="21"/>
      <c r="AA31" s="21"/>
    </row>
    <row r="32" spans="1:27" ht="15" customHeight="1">
      <c r="A32" s="17"/>
      <c r="B32" s="57"/>
      <c r="C32" s="77"/>
      <c r="D32" s="77" t="s">
        <v>118</v>
      </c>
      <c r="E32" s="77"/>
      <c r="F32" s="56"/>
      <c r="G32" s="11">
        <f>F27*0.75</f>
        <v>1524.75</v>
      </c>
      <c r="H32" s="13" t="s">
        <v>39</v>
      </c>
      <c r="I32" s="21">
        <f>35</f>
        <v>35</v>
      </c>
      <c r="J32" s="13">
        <f t="shared" si="2"/>
        <v>53366.25</v>
      </c>
      <c r="L32" s="644">
        <f t="shared" si="1"/>
        <v>53366.25</v>
      </c>
      <c r="M32" s="649"/>
      <c r="O32" s="2"/>
      <c r="Q32" s="2"/>
      <c r="R32" s="2"/>
      <c r="S32" s="7"/>
      <c r="U32" s="816">
        <v>27</v>
      </c>
      <c r="V32" s="816"/>
      <c r="W32" s="21"/>
      <c r="X32" s="21"/>
      <c r="Y32" s="21"/>
      <c r="Z32" s="21"/>
      <c r="AA32" s="21"/>
    </row>
    <row r="33" spans="1:27" ht="16">
      <c r="A33" s="17"/>
      <c r="B33" s="57"/>
      <c r="C33" s="77"/>
      <c r="D33" s="77" t="s">
        <v>119</v>
      </c>
      <c r="E33" s="77"/>
      <c r="F33" s="56"/>
      <c r="G33" s="11">
        <f>F27</f>
        <v>2033</v>
      </c>
      <c r="H33" s="13" t="s">
        <v>4</v>
      </c>
      <c r="I33" s="21">
        <v>17.5</v>
      </c>
      <c r="J33" s="13">
        <f t="shared" si="2"/>
        <v>35577.5</v>
      </c>
      <c r="L33" s="644">
        <f t="shared" si="1"/>
        <v>35577.5</v>
      </c>
      <c r="M33" s="649"/>
      <c r="O33" s="2"/>
      <c r="Q33" s="2"/>
      <c r="R33" s="2"/>
      <c r="S33" s="7"/>
      <c r="U33" s="816">
        <v>28</v>
      </c>
      <c r="V33" s="816"/>
      <c r="W33" s="21"/>
      <c r="X33" s="21">
        <v>20</v>
      </c>
      <c r="Y33" s="21"/>
      <c r="Z33" s="21"/>
      <c r="AA33" s="21"/>
    </row>
    <row r="34" spans="1:27" ht="16">
      <c r="A34" s="17"/>
      <c r="B34" s="57"/>
      <c r="C34" s="77"/>
      <c r="D34" s="77" t="s">
        <v>120</v>
      </c>
      <c r="E34" s="77"/>
      <c r="F34" s="56"/>
      <c r="G34" s="11">
        <f>F27*0.75*0.6</f>
        <v>914.85</v>
      </c>
      <c r="H34" s="13" t="s">
        <v>18</v>
      </c>
      <c r="I34" s="21">
        <v>25</v>
      </c>
      <c r="J34" s="13">
        <f t="shared" si="2"/>
        <v>22871.25</v>
      </c>
      <c r="L34" s="644">
        <f t="shared" si="1"/>
        <v>22871.25</v>
      </c>
      <c r="M34" s="649"/>
      <c r="O34" s="2"/>
      <c r="P34" s="2"/>
      <c r="Q34" s="2"/>
      <c r="R34" s="2"/>
      <c r="S34" s="7"/>
      <c r="U34" s="816">
        <v>29</v>
      </c>
      <c r="V34" s="816"/>
      <c r="W34" s="21"/>
      <c r="X34" s="21"/>
      <c r="Y34" s="21"/>
      <c r="Z34" s="21"/>
      <c r="AA34" s="21"/>
    </row>
    <row r="35" spans="1:27" ht="16">
      <c r="A35" s="17"/>
      <c r="B35" s="57"/>
      <c r="C35" s="77"/>
      <c r="D35" s="77" t="s">
        <v>121</v>
      </c>
      <c r="E35" s="77"/>
      <c r="F35" s="56"/>
      <c r="G35" s="11">
        <f>F27*0.55</f>
        <v>1118.1500000000001</v>
      </c>
      <c r="H35" s="13" t="s">
        <v>39</v>
      </c>
      <c r="I35" s="21">
        <f>120*0.6</f>
        <v>72</v>
      </c>
      <c r="J35" s="13">
        <f t="shared" si="2"/>
        <v>80506.8</v>
      </c>
      <c r="L35" s="644">
        <f t="shared" si="1"/>
        <v>80506.8</v>
      </c>
      <c r="M35" s="649"/>
      <c r="O35" s="2"/>
      <c r="Q35" s="2"/>
      <c r="R35" s="2"/>
      <c r="S35" s="7"/>
      <c r="U35" s="816">
        <v>30</v>
      </c>
      <c r="V35" s="816"/>
      <c r="W35" s="21">
        <v>20</v>
      </c>
      <c r="X35" s="21"/>
      <c r="Y35" s="21"/>
      <c r="Z35" s="21"/>
      <c r="AA35" s="21"/>
    </row>
    <row r="36" spans="1:27" ht="16">
      <c r="A36" s="17"/>
      <c r="B36" s="57"/>
      <c r="C36" s="77"/>
      <c r="D36" s="77" t="s">
        <v>122</v>
      </c>
      <c r="E36" s="77"/>
      <c r="F36" s="56"/>
      <c r="G36" s="11">
        <f>F27</f>
        <v>2033</v>
      </c>
      <c r="H36" s="13" t="s">
        <v>4</v>
      </c>
      <c r="I36" s="21">
        <v>20</v>
      </c>
      <c r="J36" s="13">
        <f t="shared" si="2"/>
        <v>40660</v>
      </c>
      <c r="L36" s="644">
        <f t="shared" si="1"/>
        <v>40660</v>
      </c>
      <c r="M36" s="649"/>
      <c r="O36" s="2"/>
      <c r="Q36" s="2"/>
      <c r="R36" s="2"/>
      <c r="S36" s="7"/>
      <c r="U36" s="816">
        <v>31</v>
      </c>
      <c r="V36" s="816"/>
      <c r="W36" s="21"/>
      <c r="X36" s="21"/>
      <c r="Y36" s="21"/>
      <c r="Z36" s="21"/>
      <c r="AA36" s="21"/>
    </row>
    <row r="37" spans="1:27">
      <c r="A37" s="17"/>
      <c r="B37" s="57"/>
      <c r="C37" s="55"/>
      <c r="D37" s="55"/>
      <c r="E37" s="55"/>
      <c r="F37" s="56"/>
      <c r="G37" s="11"/>
      <c r="H37" s="13"/>
      <c r="I37" s="21"/>
      <c r="J37" s="13"/>
      <c r="L37" s="644"/>
      <c r="M37" s="649"/>
      <c r="O37" s="2"/>
      <c r="Q37" s="2"/>
      <c r="R37" s="2"/>
      <c r="S37" s="7"/>
      <c r="U37" s="816">
        <v>32</v>
      </c>
      <c r="V37" s="816"/>
      <c r="W37" s="21"/>
      <c r="X37" s="21"/>
      <c r="Y37" s="21"/>
      <c r="Z37" s="21"/>
      <c r="AA37" s="21"/>
    </row>
    <row r="38" spans="1:27">
      <c r="A38" s="17"/>
      <c r="B38" s="57"/>
      <c r="C38" s="55"/>
      <c r="D38" s="55"/>
      <c r="E38" s="55"/>
      <c r="F38" s="56"/>
      <c r="G38" s="11"/>
      <c r="H38" s="13"/>
      <c r="I38" s="21"/>
      <c r="J38" s="13"/>
      <c r="L38" s="644"/>
      <c r="M38" s="649"/>
      <c r="O38" s="2"/>
      <c r="Q38" s="2"/>
      <c r="R38" s="2"/>
      <c r="S38" s="7"/>
      <c r="U38" s="816" t="s">
        <v>829</v>
      </c>
      <c r="V38" s="816"/>
      <c r="W38" s="21"/>
      <c r="X38" s="21"/>
      <c r="Y38" s="21"/>
      <c r="Z38" s="21">
        <v>90</v>
      </c>
      <c r="AA38" s="21"/>
    </row>
    <row r="39" spans="1:27" ht="14.25" customHeight="1">
      <c r="A39" s="17"/>
      <c r="B39" s="57"/>
      <c r="C39" s="55"/>
      <c r="D39" s="55"/>
      <c r="E39" s="55"/>
      <c r="F39" s="31"/>
      <c r="G39" s="11"/>
      <c r="H39" s="13"/>
      <c r="I39" s="21"/>
      <c r="J39" s="13"/>
      <c r="L39" s="644"/>
      <c r="M39" s="649"/>
      <c r="O39" s="2"/>
      <c r="Q39" s="2"/>
      <c r="R39" s="2"/>
      <c r="S39" s="7"/>
      <c r="U39" s="816">
        <v>34</v>
      </c>
      <c r="V39" s="816"/>
      <c r="W39" s="21"/>
      <c r="X39" s="21">
        <v>20</v>
      </c>
      <c r="Y39" s="21"/>
      <c r="Z39" s="21"/>
      <c r="AA39" s="21"/>
    </row>
    <row r="40" spans="1:27" ht="16">
      <c r="A40" s="17"/>
      <c r="B40" s="57"/>
      <c r="C40" s="78" t="s">
        <v>123</v>
      </c>
      <c r="D40" s="78"/>
      <c r="E40" s="78"/>
      <c r="F40" s="821">
        <f>Y508</f>
        <v>1517</v>
      </c>
      <c r="G40" s="11" t="s">
        <v>4</v>
      </c>
      <c r="H40" s="13"/>
      <c r="I40" s="21"/>
      <c r="J40" s="13"/>
      <c r="L40" s="644"/>
      <c r="M40" s="649"/>
      <c r="O40" s="2"/>
      <c r="Q40" s="2"/>
      <c r="R40" s="2"/>
      <c r="S40" s="7"/>
      <c r="U40" s="816">
        <v>35</v>
      </c>
      <c r="V40" s="816"/>
      <c r="W40" s="21"/>
      <c r="X40" s="21"/>
      <c r="Y40" s="21"/>
      <c r="Z40" s="21"/>
      <c r="AA40" s="21"/>
    </row>
    <row r="41" spans="1:27" ht="16">
      <c r="A41" s="17"/>
      <c r="B41" s="28"/>
      <c r="C41" s="77"/>
      <c r="D41" s="77"/>
      <c r="E41" s="77"/>
      <c r="F41" s="56"/>
      <c r="G41" s="69"/>
      <c r="H41" s="13"/>
      <c r="I41" s="21"/>
      <c r="J41" s="13"/>
      <c r="L41" s="644"/>
      <c r="M41" s="649"/>
      <c r="O41" s="2"/>
      <c r="Q41" s="2"/>
      <c r="R41" s="2"/>
      <c r="S41" s="7"/>
      <c r="U41" s="816">
        <v>36</v>
      </c>
      <c r="V41" s="816"/>
      <c r="W41" s="21"/>
      <c r="X41" s="21">
        <v>20</v>
      </c>
      <c r="Y41" s="21"/>
      <c r="Z41" s="21"/>
      <c r="AA41" s="21"/>
    </row>
    <row r="42" spans="1:27" ht="16">
      <c r="A42" s="17"/>
      <c r="B42" s="28"/>
      <c r="C42" s="77"/>
      <c r="D42" s="77" t="s">
        <v>115</v>
      </c>
      <c r="E42" s="77"/>
      <c r="F42" s="56"/>
      <c r="G42" s="11">
        <f>F40*1*0.9</f>
        <v>1365.3</v>
      </c>
      <c r="H42" s="13" t="s">
        <v>18</v>
      </c>
      <c r="I42" s="21">
        <v>20</v>
      </c>
      <c r="J42" s="13">
        <f t="shared" ref="J42:J49" si="3">G42*I42</f>
        <v>27306</v>
      </c>
      <c r="L42" s="644">
        <f t="shared" si="1"/>
        <v>27306</v>
      </c>
      <c r="M42" s="649"/>
      <c r="O42" s="2"/>
      <c r="Q42" s="2"/>
      <c r="R42" s="2"/>
      <c r="S42" s="7"/>
      <c r="U42" s="816">
        <v>37</v>
      </c>
      <c r="V42" s="816"/>
      <c r="W42" s="21"/>
      <c r="X42" s="21"/>
      <c r="Y42" s="21"/>
      <c r="Z42" s="21"/>
      <c r="AA42" s="21"/>
    </row>
    <row r="43" spans="1:27" ht="16">
      <c r="A43" s="17"/>
      <c r="B43" s="6"/>
      <c r="C43" s="77"/>
      <c r="D43" s="222" t="s">
        <v>167</v>
      </c>
      <c r="E43" s="77"/>
      <c r="F43" s="56"/>
      <c r="G43" s="11">
        <f>G42</f>
        <v>1365.3</v>
      </c>
      <c r="H43" s="13" t="s">
        <v>18</v>
      </c>
      <c r="I43" s="21">
        <v>3.5</v>
      </c>
      <c r="J43" s="13">
        <f t="shared" si="3"/>
        <v>4778.55</v>
      </c>
      <c r="L43" s="644">
        <f t="shared" si="1"/>
        <v>4778.55</v>
      </c>
      <c r="M43" s="649"/>
      <c r="O43" s="2"/>
      <c r="Q43" s="2"/>
      <c r="R43" s="2"/>
      <c r="S43" s="7"/>
      <c r="U43" s="816">
        <v>38</v>
      </c>
      <c r="V43" s="816"/>
      <c r="W43" s="21">
        <v>20</v>
      </c>
      <c r="X43" s="21"/>
      <c r="Y43" s="21"/>
      <c r="Z43" s="21"/>
      <c r="AA43" s="21"/>
    </row>
    <row r="44" spans="1:27" ht="15" customHeight="1">
      <c r="A44" s="17"/>
      <c r="B44" s="28"/>
      <c r="C44" s="77"/>
      <c r="D44" s="77" t="s">
        <v>117</v>
      </c>
      <c r="E44" s="77"/>
      <c r="F44" s="56"/>
      <c r="G44" s="11">
        <f>G43*0.35</f>
        <v>477.85499999999996</v>
      </c>
      <c r="H44" s="13" t="s">
        <v>18</v>
      </c>
      <c r="I44" s="21">
        <v>135</v>
      </c>
      <c r="J44" s="13">
        <f t="shared" si="3"/>
        <v>64510.424999999996</v>
      </c>
      <c r="L44" s="644">
        <f t="shared" si="1"/>
        <v>64510.424999999996</v>
      </c>
      <c r="M44" s="649"/>
      <c r="O44" s="2"/>
      <c r="Q44" s="2"/>
      <c r="R44" s="2"/>
      <c r="S44" s="7"/>
      <c r="U44" s="816">
        <v>39</v>
      </c>
      <c r="V44" s="816"/>
      <c r="W44" s="21"/>
      <c r="X44" s="21"/>
      <c r="Y44" s="21"/>
      <c r="Z44" s="21"/>
      <c r="AA44" s="21"/>
    </row>
    <row r="45" spans="1:27" ht="15" customHeight="1">
      <c r="A45" s="17"/>
      <c r="B45" s="28"/>
      <c r="C45" s="77"/>
      <c r="D45" s="77" t="s">
        <v>118</v>
      </c>
      <c r="E45" s="77"/>
      <c r="F45" s="56"/>
      <c r="G45" s="11">
        <f>F40*0.75</f>
        <v>1137.75</v>
      </c>
      <c r="H45" s="13" t="s">
        <v>39</v>
      </c>
      <c r="I45" s="21">
        <f>35</f>
        <v>35</v>
      </c>
      <c r="J45" s="13">
        <f t="shared" si="3"/>
        <v>39821.25</v>
      </c>
      <c r="L45" s="644">
        <f t="shared" si="1"/>
        <v>39821.25</v>
      </c>
      <c r="M45" s="649"/>
      <c r="O45" s="2"/>
      <c r="Q45" s="2"/>
      <c r="R45" s="2"/>
      <c r="S45" s="7"/>
      <c r="U45" s="816">
        <v>40</v>
      </c>
      <c r="V45" s="816"/>
      <c r="W45" s="21">
        <v>20</v>
      </c>
      <c r="X45" s="21"/>
      <c r="Y45" s="21"/>
      <c r="Z45" s="21"/>
      <c r="AA45" s="21"/>
    </row>
    <row r="46" spans="1:27" ht="15" customHeight="1">
      <c r="A46" s="17"/>
      <c r="B46" s="28"/>
      <c r="C46" s="77"/>
      <c r="D46" s="77" t="s">
        <v>119</v>
      </c>
      <c r="E46" s="77"/>
      <c r="F46" s="56"/>
      <c r="G46" s="11">
        <f>F40</f>
        <v>1517</v>
      </c>
      <c r="H46" s="13" t="s">
        <v>4</v>
      </c>
      <c r="I46" s="21">
        <v>17.5</v>
      </c>
      <c r="J46" s="13">
        <f t="shared" si="3"/>
        <v>26547.5</v>
      </c>
      <c r="L46" s="644">
        <f t="shared" si="1"/>
        <v>26547.5</v>
      </c>
      <c r="M46" s="649"/>
      <c r="O46" s="2"/>
      <c r="Q46" s="2"/>
      <c r="R46" s="2"/>
      <c r="S46" s="7"/>
      <c r="U46" s="816">
        <v>41</v>
      </c>
      <c r="V46" s="816"/>
      <c r="W46" s="21"/>
      <c r="X46" s="21"/>
      <c r="Y46" s="21"/>
      <c r="Z46" s="21"/>
      <c r="AA46" s="21"/>
    </row>
    <row r="47" spans="1:27" ht="16">
      <c r="A47" s="17"/>
      <c r="B47" s="28"/>
      <c r="C47" s="77"/>
      <c r="D47" s="77" t="s">
        <v>120</v>
      </c>
      <c r="E47" s="77"/>
      <c r="F47" s="56"/>
      <c r="G47" s="11">
        <f>F40*1.25*0.6</f>
        <v>1137.75</v>
      </c>
      <c r="H47" s="13" t="s">
        <v>18</v>
      </c>
      <c r="I47" s="21">
        <v>25</v>
      </c>
      <c r="J47" s="13">
        <f t="shared" si="3"/>
        <v>28443.75</v>
      </c>
      <c r="L47" s="644">
        <f t="shared" si="1"/>
        <v>28443.75</v>
      </c>
      <c r="M47" s="649"/>
      <c r="O47" s="2"/>
      <c r="Q47" s="2"/>
      <c r="R47" s="2"/>
      <c r="S47" s="7"/>
      <c r="U47" s="816">
        <v>42</v>
      </c>
      <c r="V47" s="816"/>
      <c r="W47" s="21"/>
      <c r="X47" s="21"/>
      <c r="Y47" s="21"/>
      <c r="Z47" s="21"/>
      <c r="AA47" s="21"/>
    </row>
    <row r="48" spans="1:27" ht="15" customHeight="1">
      <c r="A48" s="17"/>
      <c r="B48" s="28"/>
      <c r="C48" s="77"/>
      <c r="D48" s="77" t="s">
        <v>121</v>
      </c>
      <c r="E48" s="77"/>
      <c r="F48" s="56"/>
      <c r="G48" s="11">
        <f>F40*1</f>
        <v>1517</v>
      </c>
      <c r="H48" s="13" t="s">
        <v>39</v>
      </c>
      <c r="I48" s="21">
        <f>120*0.6</f>
        <v>72</v>
      </c>
      <c r="J48" s="13">
        <f t="shared" si="3"/>
        <v>109224</v>
      </c>
      <c r="L48" s="644">
        <f t="shared" si="1"/>
        <v>109224</v>
      </c>
      <c r="M48" s="649"/>
      <c r="O48" s="2"/>
      <c r="Q48" s="2"/>
      <c r="R48" s="2"/>
      <c r="S48" s="7"/>
      <c r="U48" s="816">
        <v>43</v>
      </c>
      <c r="V48" s="816"/>
      <c r="W48" s="21"/>
      <c r="X48" s="21">
        <v>20</v>
      </c>
      <c r="Y48" s="21"/>
      <c r="Z48" s="21"/>
      <c r="AA48" s="21"/>
    </row>
    <row r="49" spans="1:27" ht="16">
      <c r="A49" s="17"/>
      <c r="B49" s="35"/>
      <c r="C49" s="77"/>
      <c r="D49" s="77" t="s">
        <v>122</v>
      </c>
      <c r="E49" s="77"/>
      <c r="F49" s="56"/>
      <c r="G49" s="11">
        <f>F40</f>
        <v>1517</v>
      </c>
      <c r="H49" s="13" t="s">
        <v>4</v>
      </c>
      <c r="I49" s="21">
        <v>20</v>
      </c>
      <c r="J49" s="13">
        <f t="shared" si="3"/>
        <v>30340</v>
      </c>
      <c r="L49" s="644">
        <f t="shared" si="1"/>
        <v>30340</v>
      </c>
      <c r="M49" s="649"/>
      <c r="O49" s="2"/>
      <c r="Q49" s="2"/>
      <c r="R49" s="2"/>
      <c r="S49" s="7"/>
      <c r="U49" s="816">
        <v>44</v>
      </c>
      <c r="V49" s="816"/>
      <c r="W49" s="21"/>
      <c r="X49" s="21"/>
      <c r="Y49" s="21"/>
      <c r="Z49" s="21"/>
      <c r="AA49" s="21"/>
    </row>
    <row r="50" spans="1:27">
      <c r="A50" s="17"/>
      <c r="B50" s="28"/>
      <c r="C50" s="30"/>
      <c r="D50" s="30"/>
      <c r="E50" s="30"/>
      <c r="F50" s="31"/>
      <c r="G50" s="11"/>
      <c r="H50" s="13"/>
      <c r="I50" s="67"/>
      <c r="J50" s="13"/>
      <c r="L50" s="644"/>
      <c r="M50" s="649"/>
      <c r="O50" s="2"/>
      <c r="Q50" s="2"/>
      <c r="R50" s="2"/>
      <c r="S50" s="7"/>
      <c r="U50" s="816">
        <v>45</v>
      </c>
      <c r="V50" s="816">
        <v>6</v>
      </c>
      <c r="W50" s="21"/>
      <c r="X50" s="21">
        <v>20</v>
      </c>
      <c r="Y50" s="21"/>
      <c r="Z50" s="21"/>
      <c r="AA50" s="21"/>
    </row>
    <row r="51" spans="1:27">
      <c r="A51" s="17"/>
      <c r="B51" s="28"/>
      <c r="C51" s="30"/>
      <c r="D51" s="30"/>
      <c r="E51" s="30"/>
      <c r="F51" s="31"/>
      <c r="G51" s="11"/>
      <c r="H51" s="13"/>
      <c r="I51" s="67"/>
      <c r="J51" s="13"/>
      <c r="L51" s="644"/>
      <c r="M51" s="649"/>
      <c r="O51" s="2"/>
      <c r="Q51" s="2"/>
      <c r="R51" s="2"/>
      <c r="S51" s="7"/>
      <c r="U51" s="816">
        <v>46</v>
      </c>
      <c r="V51" s="816">
        <v>6</v>
      </c>
      <c r="W51" s="21"/>
      <c r="X51" s="21">
        <v>20</v>
      </c>
      <c r="Y51" s="21"/>
      <c r="Z51" s="21"/>
      <c r="AA51" s="21"/>
    </row>
    <row r="52" spans="1:27" ht="16">
      <c r="A52" s="17"/>
      <c r="B52" s="57"/>
      <c r="C52" s="78" t="s">
        <v>227</v>
      </c>
      <c r="D52" s="78"/>
      <c r="E52" s="78"/>
      <c r="F52" s="822">
        <f>Z508*0.4</f>
        <v>599.20000000000005</v>
      </c>
      <c r="G52" s="11" t="s">
        <v>4</v>
      </c>
      <c r="H52" s="13"/>
      <c r="I52" s="21"/>
      <c r="J52" s="13"/>
      <c r="L52" s="644"/>
      <c r="M52" s="649"/>
      <c r="O52" s="2"/>
      <c r="Q52" s="2"/>
      <c r="R52" s="2"/>
      <c r="S52" s="7"/>
      <c r="U52" s="816">
        <v>47</v>
      </c>
      <c r="V52" s="816"/>
      <c r="W52" s="21">
        <v>20</v>
      </c>
      <c r="X52" s="21"/>
      <c r="Y52" s="21"/>
      <c r="Z52" s="21"/>
      <c r="AA52" s="223"/>
    </row>
    <row r="53" spans="1:27" ht="16">
      <c r="A53" s="17"/>
      <c r="B53" s="28"/>
      <c r="C53" s="77"/>
      <c r="D53" s="77"/>
      <c r="E53" s="77"/>
      <c r="F53" s="56"/>
      <c r="G53" s="69"/>
      <c r="H53" s="13"/>
      <c r="I53" s="21"/>
      <c r="J53" s="13"/>
      <c r="L53" s="644"/>
      <c r="M53" s="649"/>
      <c r="O53" s="2"/>
      <c r="Q53" s="2"/>
      <c r="R53" s="2"/>
      <c r="S53" s="7"/>
      <c r="U53" s="816">
        <v>48</v>
      </c>
      <c r="V53" s="816"/>
      <c r="W53" s="21"/>
      <c r="X53" s="21"/>
      <c r="Y53" s="21"/>
      <c r="Z53" s="21"/>
      <c r="AA53" s="223"/>
    </row>
    <row r="54" spans="1:27" ht="16">
      <c r="A54" s="17"/>
      <c r="B54" s="28"/>
      <c r="C54" s="77"/>
      <c r="D54" s="77" t="s">
        <v>115</v>
      </c>
      <c r="E54" s="77"/>
      <c r="F54" s="56"/>
      <c r="G54" s="241">
        <f>F52*1*9</f>
        <v>5392.8</v>
      </c>
      <c r="H54" s="13" t="s">
        <v>18</v>
      </c>
      <c r="I54" s="21">
        <v>20</v>
      </c>
      <c r="J54" s="13">
        <f t="shared" ref="J54:J61" si="4">G54*I54</f>
        <v>107856</v>
      </c>
      <c r="L54" s="644">
        <f t="shared" ref="L54:L61" si="5">J54</f>
        <v>107856</v>
      </c>
      <c r="M54" s="649"/>
      <c r="O54" s="2"/>
      <c r="Q54" s="2"/>
      <c r="R54" s="2"/>
      <c r="S54" s="7"/>
      <c r="U54" s="816">
        <v>49</v>
      </c>
      <c r="V54" s="816"/>
      <c r="W54" s="21"/>
      <c r="X54" s="21"/>
      <c r="Y54" s="21"/>
      <c r="Z54" s="21"/>
      <c r="AA54" s="223"/>
    </row>
    <row r="55" spans="1:27" ht="16">
      <c r="A55" s="17"/>
      <c r="B55" s="6"/>
      <c r="C55" s="77"/>
      <c r="D55" s="77" t="s">
        <v>116</v>
      </c>
      <c r="E55" s="77"/>
      <c r="F55" s="56"/>
      <c r="G55" s="241">
        <f>G54</f>
        <v>5392.8</v>
      </c>
      <c r="H55" s="13" t="s">
        <v>18</v>
      </c>
      <c r="I55" s="21">
        <v>3.5</v>
      </c>
      <c r="J55" s="13">
        <f t="shared" si="4"/>
        <v>18874.8</v>
      </c>
      <c r="L55" s="644">
        <f t="shared" si="5"/>
        <v>18874.8</v>
      </c>
      <c r="M55" s="649"/>
      <c r="O55" s="2"/>
      <c r="Q55" s="2"/>
      <c r="R55" s="2"/>
      <c r="S55" s="7"/>
      <c r="U55" s="816">
        <v>50</v>
      </c>
      <c r="V55" s="816"/>
      <c r="W55" s="21"/>
      <c r="X55" s="21"/>
      <c r="Y55" s="21"/>
      <c r="Z55" s="21"/>
      <c r="AA55" s="21"/>
    </row>
    <row r="56" spans="1:27" ht="15" customHeight="1">
      <c r="A56" s="17"/>
      <c r="B56" s="28"/>
      <c r="C56" s="77"/>
      <c r="D56" s="77" t="s">
        <v>117</v>
      </c>
      <c r="E56" s="77"/>
      <c r="F56" s="56"/>
      <c r="G56" s="241">
        <f>G55*0.35</f>
        <v>1887.48</v>
      </c>
      <c r="H56" s="13" t="s">
        <v>18</v>
      </c>
      <c r="I56" s="21">
        <v>135</v>
      </c>
      <c r="J56" s="13">
        <f t="shared" si="4"/>
        <v>254809.8</v>
      </c>
      <c r="L56" s="644">
        <f t="shared" si="5"/>
        <v>254809.8</v>
      </c>
      <c r="M56" s="649"/>
      <c r="O56" s="2"/>
      <c r="Q56" s="2"/>
      <c r="R56" s="2"/>
      <c r="S56" s="7"/>
      <c r="U56" s="816">
        <v>51</v>
      </c>
      <c r="V56" s="816"/>
      <c r="W56" s="21"/>
      <c r="X56" s="21"/>
      <c r="Y56" s="21"/>
      <c r="Z56" s="21">
        <v>20</v>
      </c>
      <c r="AA56" s="21"/>
    </row>
    <row r="57" spans="1:27" ht="15" customHeight="1">
      <c r="A57" s="17"/>
      <c r="B57" s="28"/>
      <c r="C57" s="77"/>
      <c r="D57" s="77" t="s">
        <v>118</v>
      </c>
      <c r="E57" s="77"/>
      <c r="F57" s="56"/>
      <c r="G57" s="241">
        <f>F52*0.75</f>
        <v>449.40000000000003</v>
      </c>
      <c r="H57" s="13" t="s">
        <v>39</v>
      </c>
      <c r="I57" s="21">
        <f>35</f>
        <v>35</v>
      </c>
      <c r="J57" s="13">
        <f t="shared" si="4"/>
        <v>15729.000000000002</v>
      </c>
      <c r="L57" s="644">
        <f t="shared" si="5"/>
        <v>15729.000000000002</v>
      </c>
      <c r="M57" s="649"/>
      <c r="O57" s="2"/>
      <c r="Q57" s="2"/>
      <c r="R57" s="2"/>
      <c r="S57" s="7"/>
      <c r="U57" s="816">
        <v>52</v>
      </c>
      <c r="V57" s="816"/>
      <c r="W57" s="21"/>
      <c r="X57" s="21"/>
      <c r="Y57" s="21"/>
      <c r="Z57" s="21"/>
      <c r="AA57" s="223"/>
    </row>
    <row r="58" spans="1:27" ht="15" customHeight="1">
      <c r="A58" s="17"/>
      <c r="B58" s="28"/>
      <c r="C58" s="77"/>
      <c r="D58" s="77" t="s">
        <v>119</v>
      </c>
      <c r="E58" s="77"/>
      <c r="F58" s="56"/>
      <c r="G58" s="241">
        <f>F52</f>
        <v>599.20000000000005</v>
      </c>
      <c r="H58" s="13" t="s">
        <v>4</v>
      </c>
      <c r="I58" s="21">
        <v>17.5</v>
      </c>
      <c r="J58" s="13">
        <f t="shared" si="4"/>
        <v>10486</v>
      </c>
      <c r="L58" s="644">
        <f t="shared" si="5"/>
        <v>10486</v>
      </c>
      <c r="M58" s="649"/>
      <c r="O58" s="2"/>
      <c r="Q58" s="2"/>
      <c r="R58" s="2"/>
      <c r="S58" s="7"/>
      <c r="U58" s="816">
        <v>53</v>
      </c>
      <c r="V58" s="816"/>
      <c r="W58" s="21"/>
      <c r="X58" s="21"/>
      <c r="Y58" s="21"/>
      <c r="Z58" s="21"/>
      <c r="AA58" s="223"/>
    </row>
    <row r="59" spans="1:27" ht="16">
      <c r="A59" s="17"/>
      <c r="B59" s="28"/>
      <c r="C59" s="77"/>
      <c r="D59" s="77" t="s">
        <v>120</v>
      </c>
      <c r="E59" s="77"/>
      <c r="F59" s="56"/>
      <c r="G59" s="241">
        <f>F52*0.75*1.75</f>
        <v>786.45</v>
      </c>
      <c r="H59" s="13" t="s">
        <v>18</v>
      </c>
      <c r="I59" s="21">
        <v>25</v>
      </c>
      <c r="J59" s="13">
        <f t="shared" si="4"/>
        <v>19661.25</v>
      </c>
      <c r="L59" s="644">
        <f t="shared" si="5"/>
        <v>19661.25</v>
      </c>
      <c r="M59" s="649"/>
      <c r="O59" s="2"/>
      <c r="Q59" s="2"/>
      <c r="R59" s="2"/>
      <c r="S59" s="7"/>
      <c r="U59" s="816">
        <v>54</v>
      </c>
      <c r="V59" s="816"/>
      <c r="W59" s="21"/>
      <c r="X59" s="21"/>
      <c r="Y59" s="21"/>
      <c r="Z59" s="21"/>
      <c r="AA59" s="223"/>
    </row>
    <row r="60" spans="1:27" ht="15" customHeight="1">
      <c r="A60" s="17"/>
      <c r="B60" s="28"/>
      <c r="C60" s="77"/>
      <c r="D60" s="77" t="s">
        <v>121</v>
      </c>
      <c r="E60" s="77"/>
      <c r="F60" s="56"/>
      <c r="G60" s="241">
        <f>F52*2</f>
        <v>1198.4000000000001</v>
      </c>
      <c r="H60" s="13" t="s">
        <v>39</v>
      </c>
      <c r="I60" s="21">
        <f>120*0.6</f>
        <v>72</v>
      </c>
      <c r="J60" s="13">
        <f t="shared" si="4"/>
        <v>86284.800000000003</v>
      </c>
      <c r="L60" s="644">
        <f t="shared" si="5"/>
        <v>86284.800000000003</v>
      </c>
      <c r="M60" s="649"/>
      <c r="O60" s="2"/>
      <c r="Q60" s="2"/>
      <c r="R60" s="2"/>
      <c r="S60" s="7"/>
      <c r="U60" s="816">
        <v>55</v>
      </c>
      <c r="V60" s="816">
        <v>6</v>
      </c>
      <c r="W60" s="21">
        <v>10</v>
      </c>
      <c r="X60" s="21"/>
      <c r="Y60" s="21"/>
      <c r="Z60" s="21"/>
      <c r="AA60" s="223"/>
    </row>
    <row r="61" spans="1:27" ht="16">
      <c r="A61" s="17"/>
      <c r="B61" s="35"/>
      <c r="C61" s="77"/>
      <c r="D61" s="77" t="s">
        <v>122</v>
      </c>
      <c r="E61" s="77"/>
      <c r="F61" s="56"/>
      <c r="G61" s="241">
        <f>F52</f>
        <v>599.20000000000005</v>
      </c>
      <c r="H61" s="13" t="s">
        <v>4</v>
      </c>
      <c r="I61" s="21">
        <v>20</v>
      </c>
      <c r="J61" s="13">
        <f t="shared" si="4"/>
        <v>11984</v>
      </c>
      <c r="L61" s="644">
        <f t="shared" si="5"/>
        <v>11984</v>
      </c>
      <c r="M61" s="649"/>
      <c r="O61" s="2"/>
      <c r="Q61" s="2"/>
      <c r="R61" s="2"/>
      <c r="S61" s="7"/>
      <c r="U61" s="816">
        <v>56</v>
      </c>
      <c r="V61" s="816"/>
      <c r="W61" s="21"/>
      <c r="X61" s="21"/>
      <c r="Y61" s="21">
        <v>20</v>
      </c>
      <c r="Z61" s="21">
        <v>12</v>
      </c>
      <c r="AA61" s="223"/>
    </row>
    <row r="62" spans="1:27">
      <c r="A62" s="17"/>
      <c r="B62" s="28"/>
      <c r="F62" s="7"/>
      <c r="G62" s="11"/>
      <c r="H62" s="13"/>
      <c r="I62" s="66"/>
      <c r="J62" s="13"/>
      <c r="L62" s="644"/>
      <c r="M62" s="649"/>
      <c r="O62" s="2"/>
      <c r="Q62" s="2"/>
      <c r="R62" s="2"/>
      <c r="S62" s="7"/>
      <c r="U62" s="816">
        <v>57</v>
      </c>
      <c r="V62" s="816"/>
      <c r="W62" s="21"/>
      <c r="X62" s="21"/>
      <c r="Y62" s="21"/>
      <c r="Z62" s="21"/>
      <c r="AA62" s="223"/>
    </row>
    <row r="63" spans="1:27">
      <c r="A63" s="17"/>
      <c r="B63" s="6"/>
      <c r="F63" s="7"/>
      <c r="G63" s="11"/>
      <c r="H63" s="13"/>
      <c r="I63" s="67"/>
      <c r="J63" s="13"/>
      <c r="L63" s="644"/>
      <c r="M63" s="649"/>
      <c r="O63" s="2"/>
      <c r="Q63" s="2"/>
      <c r="R63" s="2"/>
      <c r="S63" s="7"/>
      <c r="U63" s="816">
        <v>58</v>
      </c>
      <c r="V63" s="816"/>
      <c r="W63" s="21"/>
      <c r="X63" s="21"/>
      <c r="Y63" s="21"/>
      <c r="Z63" s="21"/>
      <c r="AA63" s="223"/>
    </row>
    <row r="64" spans="1:27">
      <c r="A64" s="17"/>
      <c r="B64" s="6"/>
      <c r="F64" s="7"/>
      <c r="G64" s="11"/>
      <c r="H64" s="13"/>
      <c r="I64" s="67"/>
      <c r="J64" s="13"/>
      <c r="L64" s="644"/>
      <c r="M64" s="649"/>
      <c r="O64" s="2"/>
      <c r="Q64" s="2"/>
      <c r="R64" s="2"/>
      <c r="S64" s="7"/>
      <c r="U64" s="816">
        <v>59</v>
      </c>
      <c r="V64" s="816"/>
      <c r="W64" s="21"/>
      <c r="X64" s="21">
        <v>20</v>
      </c>
      <c r="Y64" s="21"/>
      <c r="Z64" s="21"/>
      <c r="AA64" s="223"/>
    </row>
    <row r="65" spans="1:29">
      <c r="A65" s="17"/>
      <c r="B65" s="6"/>
      <c r="F65" s="7"/>
      <c r="G65" s="11"/>
      <c r="H65" s="13"/>
      <c r="I65" s="67"/>
      <c r="J65" s="13"/>
      <c r="L65" s="644"/>
      <c r="M65" s="649"/>
      <c r="O65" s="2"/>
      <c r="Q65" s="2"/>
      <c r="R65" s="2"/>
      <c r="S65" s="7"/>
      <c r="U65" s="816">
        <v>60</v>
      </c>
      <c r="V65" s="816"/>
      <c r="W65" s="21"/>
      <c r="X65" s="21"/>
      <c r="Y65" s="21"/>
      <c r="Z65" s="21"/>
      <c r="AA65" s="223"/>
    </row>
    <row r="66" spans="1:29" ht="16">
      <c r="A66" s="17"/>
      <c r="B66" s="6"/>
      <c r="C66" s="78" t="s">
        <v>915</v>
      </c>
      <c r="D66" s="78"/>
      <c r="F66" s="7"/>
      <c r="G66" s="11"/>
      <c r="H66" s="13"/>
      <c r="I66" s="67"/>
      <c r="J66" s="13"/>
      <c r="L66" s="644"/>
      <c r="M66" s="649"/>
      <c r="O66" s="2"/>
      <c r="Q66" s="2"/>
      <c r="R66" s="2"/>
      <c r="S66" s="7"/>
      <c r="U66" s="816" t="s">
        <v>830</v>
      </c>
      <c r="V66" s="816"/>
      <c r="W66" s="21"/>
      <c r="X66" s="21"/>
      <c r="Y66" s="21"/>
      <c r="Z66" s="21">
        <v>40</v>
      </c>
      <c r="AA66" s="223"/>
    </row>
    <row r="67" spans="1:29" ht="16">
      <c r="A67" s="17"/>
      <c r="B67" s="6"/>
      <c r="C67" s="77"/>
      <c r="D67" s="77"/>
      <c r="F67" s="7"/>
      <c r="G67" s="11"/>
      <c r="H67" s="13"/>
      <c r="I67" s="67"/>
      <c r="J67" s="13"/>
      <c r="L67" s="644"/>
      <c r="M67" s="649"/>
      <c r="O67" s="2"/>
      <c r="Q67" s="2"/>
      <c r="R67" s="2"/>
      <c r="S67" s="7"/>
      <c r="U67" s="816">
        <v>62</v>
      </c>
      <c r="V67" s="816"/>
      <c r="W67" s="21"/>
      <c r="X67" s="21"/>
      <c r="Y67" s="21"/>
      <c r="Z67" s="21"/>
      <c r="AA67" s="223"/>
    </row>
    <row r="68" spans="1:29" ht="15" customHeight="1">
      <c r="A68" s="17"/>
      <c r="B68" s="6"/>
      <c r="C68" s="77"/>
      <c r="D68" s="888" t="s">
        <v>911</v>
      </c>
      <c r="F68" s="7"/>
      <c r="G68" s="889">
        <f>Z508*0.6</f>
        <v>898.8</v>
      </c>
      <c r="H68" s="13" t="s">
        <v>4</v>
      </c>
      <c r="I68" s="67">
        <f>'gabion calculator 3M'!B49</f>
        <v>525.62938091529452</v>
      </c>
      <c r="J68" s="13">
        <f t="shared" ref="J68:J74" si="6">G68*I68</f>
        <v>472435.68756666669</v>
      </c>
      <c r="L68" s="644">
        <f t="shared" ref="L68:L74" si="7">J68</f>
        <v>472435.68756666669</v>
      </c>
      <c r="M68" s="649"/>
      <c r="O68" s="2"/>
      <c r="Q68" s="2"/>
      <c r="R68" s="2"/>
      <c r="S68" s="7"/>
      <c r="U68" s="816">
        <v>63</v>
      </c>
      <c r="V68" s="816">
        <v>6</v>
      </c>
      <c r="W68" s="21">
        <v>10</v>
      </c>
      <c r="X68" s="21"/>
      <c r="Y68" s="21"/>
      <c r="Z68" s="21"/>
      <c r="AA68" s="223"/>
    </row>
    <row r="69" spans="1:29" ht="15" customHeight="1">
      <c r="A69" s="17"/>
      <c r="B69" s="6"/>
      <c r="C69" s="77"/>
      <c r="D69" s="77"/>
      <c r="F69" s="7"/>
      <c r="G69" s="7"/>
      <c r="H69" s="13"/>
      <c r="I69" s="67"/>
      <c r="J69" s="13"/>
      <c r="L69" s="644"/>
      <c r="M69" s="649"/>
      <c r="O69" s="2"/>
      <c r="Q69" s="2"/>
      <c r="R69" s="2"/>
      <c r="S69" s="7"/>
      <c r="U69" s="816">
        <v>64</v>
      </c>
      <c r="V69" s="816">
        <v>6</v>
      </c>
      <c r="W69" s="21">
        <v>20</v>
      </c>
      <c r="X69" s="21"/>
      <c r="Y69" s="21"/>
      <c r="Z69" s="21"/>
      <c r="AA69" s="223"/>
    </row>
    <row r="70" spans="1:29" ht="15" customHeight="1">
      <c r="A70" s="17"/>
      <c r="B70" s="6"/>
      <c r="D70" s="888" t="s">
        <v>912</v>
      </c>
      <c r="F70" s="7"/>
      <c r="G70" s="26">
        <f>AA508</f>
        <v>280</v>
      </c>
      <c r="H70" s="13" t="s">
        <v>4</v>
      </c>
      <c r="I70" s="67">
        <f>'gabion calculator 3M'!B98</f>
        <v>843.81232301587295</v>
      </c>
      <c r="J70" s="13">
        <f t="shared" si="6"/>
        <v>236267.45044444443</v>
      </c>
      <c r="L70" s="644">
        <f t="shared" si="7"/>
        <v>236267.45044444443</v>
      </c>
      <c r="M70" s="649"/>
      <c r="O70" s="2"/>
      <c r="Q70" s="2"/>
      <c r="R70" s="2"/>
      <c r="S70" s="7"/>
      <c r="U70" s="816">
        <v>65</v>
      </c>
      <c r="V70" s="816">
        <v>6</v>
      </c>
      <c r="W70" s="21"/>
      <c r="X70" s="21">
        <v>10</v>
      </c>
      <c r="Y70" s="21"/>
      <c r="Z70" s="21"/>
      <c r="AA70" s="223"/>
    </row>
    <row r="71" spans="1:29">
      <c r="A71" s="17"/>
      <c r="B71" s="6"/>
      <c r="F71" s="7"/>
      <c r="G71" s="7"/>
      <c r="H71" s="13"/>
      <c r="I71" s="67"/>
      <c r="J71" s="13"/>
      <c r="L71" s="644"/>
      <c r="M71" s="649"/>
      <c r="O71" s="2"/>
      <c r="Q71" s="2"/>
      <c r="R71" s="2"/>
      <c r="S71" s="7"/>
      <c r="U71" s="816">
        <v>66</v>
      </c>
      <c r="V71" s="816">
        <v>6</v>
      </c>
      <c r="W71" s="21"/>
      <c r="X71" s="21"/>
      <c r="Y71" s="21">
        <v>10</v>
      </c>
      <c r="Z71" s="21"/>
      <c r="AA71" s="223"/>
    </row>
    <row r="72" spans="1:29" ht="15" customHeight="1">
      <c r="A72" s="17"/>
      <c r="B72" s="6"/>
      <c r="D72" s="888" t="s">
        <v>913</v>
      </c>
      <c r="F72" s="7"/>
      <c r="G72" s="26">
        <f>AB508</f>
        <v>355</v>
      </c>
      <c r="H72" s="13" t="s">
        <v>4</v>
      </c>
      <c r="I72" s="67">
        <f>'gabion calculator 3M'!B148</f>
        <v>1009.9065803599374</v>
      </c>
      <c r="J72" s="13">
        <f t="shared" si="6"/>
        <v>358516.83602777775</v>
      </c>
      <c r="L72" s="644">
        <f t="shared" si="7"/>
        <v>358516.83602777775</v>
      </c>
      <c r="M72" s="649"/>
      <c r="O72" s="2"/>
      <c r="Q72" s="2"/>
      <c r="R72" s="2"/>
      <c r="S72" s="7"/>
      <c r="U72" s="816" t="s">
        <v>831</v>
      </c>
      <c r="V72" s="816"/>
      <c r="W72" s="21"/>
      <c r="X72" s="21"/>
      <c r="Y72" s="21">
        <v>10</v>
      </c>
      <c r="Z72" s="21">
        <v>40</v>
      </c>
      <c r="AA72" s="223">
        <f>20+70+30</f>
        <v>120</v>
      </c>
      <c r="AB72">
        <v>20</v>
      </c>
      <c r="AC72">
        <v>40</v>
      </c>
    </row>
    <row r="73" spans="1:29" ht="16">
      <c r="A73" s="17"/>
      <c r="B73" s="6"/>
      <c r="D73" s="77"/>
      <c r="F73" s="7"/>
      <c r="G73" s="7"/>
      <c r="H73" s="13"/>
      <c r="I73" s="67"/>
      <c r="J73" s="13"/>
      <c r="L73" s="644"/>
      <c r="M73" s="649"/>
      <c r="O73" s="2"/>
      <c r="Q73" s="2"/>
      <c r="R73" s="2"/>
      <c r="S73" s="7"/>
      <c r="U73" s="816">
        <v>68</v>
      </c>
      <c r="V73" s="816"/>
      <c r="W73" s="21">
        <v>20</v>
      </c>
      <c r="X73" s="21"/>
      <c r="Y73" s="21"/>
      <c r="Z73" s="21"/>
      <c r="AA73" s="223"/>
    </row>
    <row r="74" spans="1:29" ht="16">
      <c r="A74" s="17"/>
      <c r="B74" s="6"/>
      <c r="D74" s="888" t="s">
        <v>914</v>
      </c>
      <c r="F74" s="7"/>
      <c r="G74" s="26">
        <f>AC508</f>
        <v>40</v>
      </c>
      <c r="H74" s="13" t="s">
        <v>4</v>
      </c>
      <c r="I74" s="67">
        <f>'gabion calculator 3M'!B199</f>
        <v>1265.9102944444444</v>
      </c>
      <c r="J74" s="13">
        <f t="shared" si="6"/>
        <v>50636.411777777772</v>
      </c>
      <c r="L74" s="644">
        <f t="shared" si="7"/>
        <v>50636.411777777772</v>
      </c>
      <c r="M74" s="649"/>
      <c r="O74" s="2"/>
      <c r="Q74" s="2"/>
      <c r="R74" s="2"/>
      <c r="S74" s="7"/>
      <c r="U74" s="816">
        <v>69</v>
      </c>
      <c r="V74" s="816"/>
      <c r="W74" s="21"/>
      <c r="X74" s="21"/>
      <c r="Y74" s="21">
        <v>20</v>
      </c>
      <c r="Z74" s="21"/>
      <c r="AA74" s="223"/>
    </row>
    <row r="75" spans="1:29">
      <c r="A75" s="17"/>
      <c r="B75" s="6"/>
      <c r="F75" s="7"/>
      <c r="G75" s="11"/>
      <c r="H75" s="13"/>
      <c r="I75" s="67"/>
      <c r="J75" s="13"/>
      <c r="L75" s="644"/>
      <c r="M75" s="649"/>
      <c r="O75" s="2"/>
      <c r="Q75" s="2"/>
      <c r="R75" s="2"/>
      <c r="S75" s="7"/>
      <c r="U75" s="816">
        <v>70</v>
      </c>
      <c r="V75" s="816"/>
      <c r="W75" s="21"/>
      <c r="X75" s="21"/>
      <c r="Y75" s="21"/>
      <c r="Z75" s="21"/>
      <c r="AA75" s="223"/>
    </row>
    <row r="76" spans="1:29">
      <c r="A76" s="17"/>
      <c r="B76" s="6"/>
      <c r="F76" s="7"/>
      <c r="G76" s="11"/>
      <c r="H76" s="13"/>
      <c r="I76" s="66"/>
      <c r="J76" s="13"/>
      <c r="L76" s="644"/>
      <c r="M76" s="649"/>
      <c r="O76" s="2"/>
      <c r="Q76" s="2"/>
      <c r="R76" s="2"/>
      <c r="S76" s="7"/>
      <c r="U76" s="816">
        <v>71</v>
      </c>
      <c r="V76" s="816"/>
      <c r="W76" s="21"/>
      <c r="X76" s="21"/>
      <c r="Y76" s="21"/>
      <c r="Z76" s="21"/>
      <c r="AA76" s="223"/>
    </row>
    <row r="77" spans="1:29" ht="16" thickBot="1">
      <c r="A77" s="17"/>
      <c r="B77" s="6"/>
      <c r="F77" s="7"/>
      <c r="G77" s="11"/>
      <c r="H77" s="13"/>
      <c r="I77" s="66"/>
      <c r="J77" s="13"/>
      <c r="L77" s="644"/>
      <c r="M77" s="649"/>
      <c r="O77" s="2"/>
      <c r="P77" s="47">
        <f>SUM(P9:P76)</f>
        <v>0</v>
      </c>
      <c r="Q77" s="47">
        <f>SUM(Q9:Q76)</f>
        <v>0</v>
      </c>
      <c r="R77" s="47">
        <f>SUM(R9:R76)</f>
        <v>0</v>
      </c>
      <c r="S77" s="47">
        <f>SUM(S9:S76)</f>
        <v>0</v>
      </c>
      <c r="U77" s="816">
        <v>72</v>
      </c>
      <c r="V77" s="816"/>
      <c r="W77" s="21"/>
      <c r="X77" s="21">
        <v>20</v>
      </c>
      <c r="Y77" s="21"/>
      <c r="Z77" s="21"/>
      <c r="AA77" s="223"/>
    </row>
    <row r="78" spans="1:29">
      <c r="A78" s="17"/>
      <c r="B78" s="6"/>
      <c r="F78" s="7"/>
      <c r="G78" s="11"/>
      <c r="H78" s="13"/>
      <c r="I78" s="66"/>
      <c r="J78" s="13"/>
      <c r="L78" s="644"/>
      <c r="M78" s="649"/>
      <c r="O78" s="2"/>
      <c r="P78" s="9"/>
      <c r="Q78" s="63"/>
      <c r="R78" s="63"/>
      <c r="S78" s="10"/>
      <c r="U78" s="816">
        <v>73</v>
      </c>
      <c r="V78" s="816"/>
      <c r="W78" s="21"/>
      <c r="X78" s="21"/>
      <c r="Y78" s="21"/>
      <c r="Z78" s="21"/>
      <c r="AA78" s="223"/>
    </row>
    <row r="79" spans="1:29">
      <c r="A79" s="17"/>
      <c r="B79" s="6"/>
      <c r="F79" s="7"/>
      <c r="G79" s="11"/>
      <c r="H79" s="13"/>
      <c r="I79" s="66"/>
      <c r="J79" s="13"/>
      <c r="L79" s="644"/>
      <c r="M79" s="649"/>
      <c r="O79" s="2"/>
      <c r="U79" s="816">
        <v>74</v>
      </c>
      <c r="V79" s="816"/>
      <c r="W79" s="21"/>
      <c r="X79" s="21">
        <v>20</v>
      </c>
      <c r="Y79" s="21"/>
      <c r="Z79" s="21"/>
      <c r="AA79" s="223"/>
    </row>
    <row r="80" spans="1:29">
      <c r="A80" s="17"/>
      <c r="B80" s="6"/>
      <c r="F80" s="7"/>
      <c r="G80" s="11"/>
      <c r="H80" s="13"/>
      <c r="I80" s="66"/>
      <c r="J80" s="13"/>
      <c r="L80" s="644"/>
      <c r="M80" s="649"/>
      <c r="O80" s="2"/>
      <c r="U80" s="816">
        <v>75</v>
      </c>
      <c r="V80" s="816"/>
      <c r="W80" s="21"/>
      <c r="X80" s="21"/>
      <c r="Y80" s="21"/>
      <c r="Z80" s="21"/>
      <c r="AA80" s="223"/>
    </row>
    <row r="81" spans="1:27">
      <c r="A81" s="17"/>
      <c r="B81" s="6"/>
      <c r="F81" s="7"/>
      <c r="G81" s="11"/>
      <c r="H81" s="13"/>
      <c r="I81" s="66"/>
      <c r="J81" s="13"/>
      <c r="L81" s="644"/>
      <c r="M81" s="649"/>
      <c r="O81" s="2"/>
      <c r="U81" s="816">
        <v>76</v>
      </c>
      <c r="V81" s="816"/>
      <c r="W81" s="21"/>
      <c r="X81" s="21"/>
      <c r="Y81" s="21"/>
      <c r="Z81" s="21"/>
      <c r="AA81" s="223"/>
    </row>
    <row r="82" spans="1:27">
      <c r="A82" s="17"/>
      <c r="B82" s="6"/>
      <c r="F82" s="7"/>
      <c r="G82" s="11"/>
      <c r="H82" s="13"/>
      <c r="I82" s="66"/>
      <c r="J82" s="13"/>
      <c r="L82" s="644"/>
      <c r="M82" s="649"/>
      <c r="O82" s="2"/>
      <c r="U82" s="816">
        <v>77</v>
      </c>
      <c r="V82" s="816"/>
      <c r="W82" s="21"/>
      <c r="X82" s="21">
        <v>20</v>
      </c>
      <c r="Y82" s="21"/>
      <c r="Z82" s="21"/>
      <c r="AA82" s="223"/>
    </row>
    <row r="83" spans="1:27">
      <c r="A83" s="17"/>
      <c r="B83" s="6"/>
      <c r="F83" s="7"/>
      <c r="G83" s="11"/>
      <c r="H83" s="13"/>
      <c r="I83" s="66"/>
      <c r="J83" s="13"/>
      <c r="L83" s="644"/>
      <c r="M83" s="649"/>
      <c r="O83" s="2"/>
      <c r="U83" s="816">
        <v>78</v>
      </c>
      <c r="V83" s="816"/>
      <c r="W83" s="21"/>
      <c r="X83" s="21"/>
      <c r="Y83" s="21"/>
      <c r="Z83" s="21"/>
      <c r="AA83" s="223"/>
    </row>
    <row r="84" spans="1:27">
      <c r="A84" s="17"/>
      <c r="B84" s="6"/>
      <c r="F84" s="7"/>
      <c r="G84" s="11"/>
      <c r="H84" s="13"/>
      <c r="I84" s="66"/>
      <c r="J84" s="13"/>
      <c r="L84" s="644"/>
      <c r="M84" s="649"/>
      <c r="O84" s="2"/>
      <c r="U84" s="816">
        <v>79</v>
      </c>
      <c r="V84" s="816"/>
      <c r="W84" s="21"/>
      <c r="X84" s="21"/>
      <c r="Y84" s="21"/>
      <c r="Z84" s="21"/>
      <c r="AA84" s="223"/>
    </row>
    <row r="85" spans="1:27">
      <c r="A85" s="17"/>
      <c r="B85" s="6"/>
      <c r="F85" s="7"/>
      <c r="G85" s="11"/>
      <c r="H85" s="13"/>
      <c r="I85" s="66"/>
      <c r="J85" s="13"/>
      <c r="L85" s="644"/>
      <c r="M85" s="649"/>
      <c r="O85" s="2"/>
      <c r="U85" s="816">
        <v>80</v>
      </c>
      <c r="V85" s="816"/>
      <c r="W85" s="21"/>
      <c r="X85" s="21"/>
      <c r="Y85" s="21">
        <v>15</v>
      </c>
      <c r="Z85" s="21"/>
      <c r="AA85" s="223"/>
    </row>
    <row r="86" spans="1:27">
      <c r="A86" s="17"/>
      <c r="B86" s="6"/>
      <c r="F86" s="7"/>
      <c r="G86" s="11"/>
      <c r="H86" s="13"/>
      <c r="I86" s="66"/>
      <c r="J86" s="13"/>
      <c r="L86" s="644"/>
      <c r="M86" s="649"/>
      <c r="O86" s="2"/>
      <c r="U86" s="816">
        <v>81</v>
      </c>
      <c r="V86" s="816"/>
      <c r="W86" s="21"/>
      <c r="X86" s="21"/>
      <c r="Y86" s="21">
        <v>20</v>
      </c>
      <c r="Z86" s="21"/>
      <c r="AA86" s="223"/>
    </row>
    <row r="87" spans="1:27">
      <c r="A87" s="17"/>
      <c r="B87" s="6"/>
      <c r="F87" s="7"/>
      <c r="G87" s="11"/>
      <c r="H87" s="13"/>
      <c r="I87" s="66"/>
      <c r="J87" s="13"/>
      <c r="L87" s="644"/>
      <c r="M87" s="649"/>
      <c r="O87" s="2"/>
      <c r="U87" s="816">
        <v>82</v>
      </c>
      <c r="V87" s="816"/>
      <c r="W87" s="21"/>
      <c r="X87" s="21"/>
      <c r="Y87" s="21"/>
      <c r="Z87" s="21"/>
      <c r="AA87" s="223"/>
    </row>
    <row r="88" spans="1:27">
      <c r="A88" s="17"/>
      <c r="B88" s="6"/>
      <c r="F88" s="7"/>
      <c r="G88" s="11"/>
      <c r="H88" s="13"/>
      <c r="I88" s="66"/>
      <c r="J88" s="13"/>
      <c r="L88" s="644"/>
      <c r="M88" s="649"/>
      <c r="O88" s="2"/>
      <c r="U88" s="816">
        <v>83</v>
      </c>
      <c r="V88" s="816"/>
      <c r="W88" s="21"/>
      <c r="X88" s="21">
        <v>20</v>
      </c>
      <c r="Y88" s="21"/>
      <c r="Z88" s="21"/>
      <c r="AA88" s="223"/>
    </row>
    <row r="89" spans="1:27">
      <c r="A89" s="17"/>
      <c r="B89" s="6"/>
      <c r="F89" s="7"/>
      <c r="G89" s="11"/>
      <c r="H89" s="13"/>
      <c r="I89" s="66"/>
      <c r="J89" s="13"/>
      <c r="L89" s="644"/>
      <c r="M89" s="649"/>
      <c r="O89" s="2"/>
      <c r="U89" s="816">
        <v>84</v>
      </c>
      <c r="V89" s="816"/>
      <c r="W89" s="21"/>
      <c r="X89" s="21"/>
      <c r="Y89" s="21"/>
      <c r="Z89" s="21"/>
      <c r="AA89" s="223"/>
    </row>
    <row r="90" spans="1:27">
      <c r="A90" s="17"/>
      <c r="B90" s="6"/>
      <c r="F90" s="26"/>
      <c r="G90" s="21"/>
      <c r="H90" s="13"/>
      <c r="I90" s="54"/>
      <c r="J90" s="13"/>
      <c r="L90" s="644"/>
      <c r="M90" s="649"/>
      <c r="O90" s="2"/>
      <c r="U90" s="816">
        <v>85</v>
      </c>
      <c r="V90" s="816"/>
      <c r="W90" s="21">
        <v>15</v>
      </c>
      <c r="X90" s="21"/>
      <c r="Y90" s="21"/>
      <c r="Z90" s="21"/>
      <c r="AA90" s="223"/>
    </row>
    <row r="91" spans="1:27">
      <c r="A91" s="17"/>
      <c r="B91" s="6"/>
      <c r="F91" s="7"/>
      <c r="G91" s="11"/>
      <c r="H91" s="13"/>
      <c r="I91" s="21"/>
      <c r="J91" s="13"/>
      <c r="L91" s="6"/>
      <c r="M91" s="2"/>
      <c r="O91" s="2"/>
      <c r="U91" s="816">
        <v>86</v>
      </c>
      <c r="V91" s="816"/>
      <c r="W91" s="21">
        <v>10</v>
      </c>
      <c r="X91" s="21"/>
      <c r="Y91" s="21"/>
      <c r="Z91" s="21"/>
      <c r="AA91" s="223"/>
    </row>
    <row r="92" spans="1:27" ht="16" thickBot="1">
      <c r="A92" s="17"/>
      <c r="B92" s="6"/>
      <c r="F92" s="7"/>
      <c r="G92" s="11"/>
      <c r="H92" s="13"/>
      <c r="I92" s="21"/>
      <c r="J92" s="47">
        <f>SUM(J9:J91)</f>
        <v>2479468.3858166668</v>
      </c>
      <c r="L92" s="47">
        <f>SUM(L9:L91)</f>
        <v>2479468.3858166668</v>
      </c>
      <c r="M92" s="47">
        <f>SUM(M9:M91)</f>
        <v>0</v>
      </c>
      <c r="N92" s="47">
        <f>SUM(N9:N91)</f>
        <v>0</v>
      </c>
      <c r="O92" s="47">
        <f>SUM(O9:O91)</f>
        <v>0</v>
      </c>
      <c r="U92" s="816">
        <v>87</v>
      </c>
      <c r="V92" s="816"/>
      <c r="W92" s="21">
        <v>15</v>
      </c>
      <c r="X92" s="21"/>
      <c r="Y92" s="21"/>
      <c r="Z92" s="21"/>
      <c r="AA92" s="223"/>
    </row>
    <row r="93" spans="1:27">
      <c r="A93" s="18"/>
      <c r="B93" s="8"/>
      <c r="C93" s="9"/>
      <c r="D93" s="9"/>
      <c r="E93" s="9"/>
      <c r="F93" s="10"/>
      <c r="G93" s="14"/>
      <c r="H93" s="15"/>
      <c r="I93" s="23"/>
      <c r="J93" s="15"/>
      <c r="L93" s="8"/>
      <c r="M93" s="63"/>
      <c r="N93" s="9"/>
      <c r="O93" s="63"/>
      <c r="U93" s="816">
        <v>88</v>
      </c>
      <c r="V93" s="816"/>
      <c r="W93" s="21">
        <v>15</v>
      </c>
      <c r="X93" s="21"/>
      <c r="Y93" s="21"/>
      <c r="Z93" s="21"/>
      <c r="AA93" s="223"/>
    </row>
    <row r="94" spans="1:27">
      <c r="U94" s="816">
        <v>89</v>
      </c>
      <c r="V94" s="816"/>
      <c r="W94" s="21">
        <v>20</v>
      </c>
      <c r="X94" s="21"/>
      <c r="Y94" s="21"/>
      <c r="Z94" s="21"/>
      <c r="AA94" s="223"/>
    </row>
    <row r="95" spans="1:27">
      <c r="U95" s="816">
        <v>90</v>
      </c>
      <c r="V95" s="816"/>
      <c r="W95" s="21"/>
      <c r="X95" s="21"/>
      <c r="Y95" s="21"/>
      <c r="Z95" s="21"/>
      <c r="AA95" s="223"/>
    </row>
    <row r="96" spans="1:27">
      <c r="U96" s="816">
        <v>91</v>
      </c>
      <c r="V96" s="816"/>
      <c r="W96" s="21"/>
      <c r="X96" s="21"/>
      <c r="Y96" s="21"/>
      <c r="Z96" s="21"/>
      <c r="AA96" s="223"/>
    </row>
    <row r="97" spans="21:27">
      <c r="U97" s="816">
        <v>92</v>
      </c>
      <c r="V97" s="816"/>
      <c r="W97" s="21">
        <v>15</v>
      </c>
      <c r="X97" s="21"/>
      <c r="Y97" s="21"/>
      <c r="Z97" s="21"/>
      <c r="AA97" s="223"/>
    </row>
    <row r="98" spans="21:27">
      <c r="U98" s="816">
        <v>93</v>
      </c>
      <c r="V98" s="816"/>
      <c r="W98" s="21">
        <v>15</v>
      </c>
      <c r="X98" s="21"/>
      <c r="Y98" s="21"/>
      <c r="Z98" s="21"/>
      <c r="AA98" s="223"/>
    </row>
    <row r="99" spans="21:27">
      <c r="U99" s="816">
        <v>94</v>
      </c>
      <c r="V99" s="816"/>
      <c r="W99" s="21">
        <v>15</v>
      </c>
      <c r="X99" s="21"/>
      <c r="Y99" s="21"/>
      <c r="Z99" s="21"/>
      <c r="AA99" s="223"/>
    </row>
    <row r="100" spans="21:27">
      <c r="U100" s="816">
        <v>95</v>
      </c>
      <c r="V100" s="816">
        <v>6</v>
      </c>
      <c r="W100" s="21">
        <v>20</v>
      </c>
      <c r="X100" s="21"/>
      <c r="Y100" s="21"/>
      <c r="Z100" s="21"/>
      <c r="AA100" s="223"/>
    </row>
    <row r="101" spans="21:27">
      <c r="U101" s="816">
        <v>96</v>
      </c>
      <c r="V101" s="816">
        <v>6</v>
      </c>
      <c r="W101" s="21"/>
      <c r="X101" s="21">
        <v>20</v>
      </c>
      <c r="Y101" s="21"/>
      <c r="Z101" s="21"/>
      <c r="AA101" s="223"/>
    </row>
    <row r="102" spans="21:27">
      <c r="U102" s="816">
        <v>97</v>
      </c>
      <c r="V102" s="816"/>
      <c r="W102" s="21"/>
      <c r="X102" s="21"/>
      <c r="Y102" s="21"/>
      <c r="Z102" s="21"/>
      <c r="AA102" s="223"/>
    </row>
    <row r="103" spans="21:27">
      <c r="U103" s="816">
        <v>98</v>
      </c>
      <c r="V103" s="816"/>
      <c r="W103" s="21"/>
      <c r="X103" s="21"/>
      <c r="Y103" s="21"/>
      <c r="Z103" s="21">
        <v>10</v>
      </c>
      <c r="AA103" s="223"/>
    </row>
    <row r="104" spans="21:27">
      <c r="U104" s="816">
        <v>99</v>
      </c>
      <c r="V104" s="816">
        <v>9</v>
      </c>
      <c r="W104" s="21"/>
      <c r="X104" s="21">
        <v>5</v>
      </c>
      <c r="Y104" s="21">
        <v>20</v>
      </c>
      <c r="Z104" s="21"/>
      <c r="AA104" s="223"/>
    </row>
    <row r="105" spans="21:27">
      <c r="U105" s="816">
        <v>100</v>
      </c>
      <c r="V105" s="816"/>
      <c r="W105" s="21"/>
      <c r="X105" s="21"/>
      <c r="Y105" s="21"/>
      <c r="Z105" s="21"/>
      <c r="AA105" s="223"/>
    </row>
    <row r="106" spans="21:27">
      <c r="U106" s="816">
        <v>101</v>
      </c>
      <c r="V106" s="816"/>
      <c r="W106" s="21">
        <v>20</v>
      </c>
      <c r="X106" s="21"/>
      <c r="Y106" s="21"/>
      <c r="Z106" s="21"/>
      <c r="AA106" s="223"/>
    </row>
    <row r="107" spans="21:27">
      <c r="U107" s="816">
        <v>102</v>
      </c>
      <c r="V107" s="816"/>
      <c r="W107" s="21">
        <v>15</v>
      </c>
      <c r="X107" s="21"/>
      <c r="Y107" s="21"/>
      <c r="Z107" s="21"/>
      <c r="AA107" s="223"/>
    </row>
    <row r="108" spans="21:27">
      <c r="U108" s="816">
        <v>103</v>
      </c>
      <c r="V108" s="816"/>
      <c r="W108" s="21"/>
      <c r="X108" s="21"/>
      <c r="Y108" s="21"/>
      <c r="Z108" s="21"/>
      <c r="AA108" s="223"/>
    </row>
    <row r="109" spans="21:27">
      <c r="U109" s="816">
        <v>104</v>
      </c>
      <c r="V109" s="816"/>
      <c r="W109" s="21">
        <v>15</v>
      </c>
      <c r="X109" s="21"/>
      <c r="Y109" s="21"/>
      <c r="Z109" s="21"/>
      <c r="AA109" s="223"/>
    </row>
    <row r="110" spans="21:27">
      <c r="U110" s="816">
        <v>105</v>
      </c>
      <c r="V110" s="816"/>
      <c r="W110" s="21">
        <v>15</v>
      </c>
      <c r="X110" s="21"/>
      <c r="Y110" s="21"/>
      <c r="Z110" s="21"/>
      <c r="AA110" s="223"/>
    </row>
    <row r="111" spans="21:27">
      <c r="U111" s="816">
        <v>106</v>
      </c>
      <c r="V111" s="816"/>
      <c r="W111" s="21">
        <v>20</v>
      </c>
      <c r="X111" s="21"/>
      <c r="Y111" s="21"/>
      <c r="Z111" s="21"/>
      <c r="AA111" s="223"/>
    </row>
    <row r="112" spans="21:27">
      <c r="U112" s="816">
        <v>107</v>
      </c>
      <c r="V112" s="816"/>
      <c r="W112" s="21">
        <v>20</v>
      </c>
      <c r="X112" s="21"/>
      <c r="Y112" s="21"/>
      <c r="Z112" s="21"/>
      <c r="AA112" s="223"/>
    </row>
    <row r="113" spans="21:27">
      <c r="U113" s="816">
        <v>108</v>
      </c>
      <c r="V113" s="816"/>
      <c r="W113" s="21"/>
      <c r="X113" s="21"/>
      <c r="Y113" s="21"/>
      <c r="Z113" s="21"/>
      <c r="AA113" s="223"/>
    </row>
    <row r="114" spans="21:27">
      <c r="U114" s="816">
        <v>109</v>
      </c>
      <c r="V114" s="816"/>
      <c r="W114" s="21"/>
      <c r="X114" s="21"/>
      <c r="Y114" s="21"/>
      <c r="Z114" s="21"/>
      <c r="AA114" s="223"/>
    </row>
    <row r="115" spans="21:27">
      <c r="U115" s="816">
        <v>110</v>
      </c>
      <c r="V115" s="816"/>
      <c r="W115" s="21">
        <v>20</v>
      </c>
      <c r="X115" s="21"/>
      <c r="Y115" s="21"/>
      <c r="Z115" s="21"/>
      <c r="AA115" s="223"/>
    </row>
    <row r="116" spans="21:27">
      <c r="U116" s="816">
        <v>111</v>
      </c>
      <c r="V116" s="816"/>
      <c r="W116" s="21"/>
      <c r="X116" s="21"/>
      <c r="Y116" s="21"/>
      <c r="Z116" s="21"/>
      <c r="AA116" s="223"/>
    </row>
    <row r="117" spans="21:27">
      <c r="U117" s="816">
        <v>112</v>
      </c>
      <c r="V117" s="816"/>
      <c r="W117" s="21"/>
      <c r="X117" s="21"/>
      <c r="Y117" s="21">
        <v>18</v>
      </c>
      <c r="Z117" s="21"/>
      <c r="AA117" s="223"/>
    </row>
    <row r="118" spans="21:27">
      <c r="U118" s="816">
        <v>113</v>
      </c>
      <c r="V118" s="816"/>
      <c r="W118" s="21"/>
      <c r="X118" s="21"/>
      <c r="Y118" s="21"/>
      <c r="Z118" s="21"/>
      <c r="AA118" s="223"/>
    </row>
    <row r="119" spans="21:27">
      <c r="U119" s="816">
        <v>114</v>
      </c>
      <c r="V119" s="816"/>
      <c r="W119" s="21"/>
      <c r="X119" s="21"/>
      <c r="Y119" s="21"/>
      <c r="Z119" s="21"/>
      <c r="AA119" s="223"/>
    </row>
    <row r="120" spans="21:27">
      <c r="U120" s="816">
        <v>115</v>
      </c>
      <c r="V120" s="816"/>
      <c r="W120" s="21"/>
      <c r="X120" s="21"/>
      <c r="Y120" s="21"/>
      <c r="Z120" s="21"/>
      <c r="AA120" s="223"/>
    </row>
    <row r="121" spans="21:27">
      <c r="U121" s="816">
        <v>116</v>
      </c>
      <c r="V121" s="816"/>
      <c r="W121" s="21"/>
      <c r="X121" s="21"/>
      <c r="Y121" s="21"/>
      <c r="Z121" s="21">
        <v>15</v>
      </c>
      <c r="AA121" s="223"/>
    </row>
    <row r="122" spans="21:27">
      <c r="U122" s="816">
        <v>117</v>
      </c>
      <c r="V122" s="816"/>
      <c r="W122" s="21"/>
      <c r="X122" s="21"/>
      <c r="Y122" s="21">
        <v>15</v>
      </c>
      <c r="Z122" s="21"/>
      <c r="AA122" s="223"/>
    </row>
    <row r="123" spans="21:27">
      <c r="U123" s="816">
        <v>118</v>
      </c>
      <c r="V123" s="816"/>
      <c r="W123" s="21"/>
      <c r="X123" s="21">
        <v>15</v>
      </c>
      <c r="Y123" s="21"/>
      <c r="Z123" s="21"/>
      <c r="AA123" s="223"/>
    </row>
    <row r="124" spans="21:27">
      <c r="U124" s="816">
        <v>119</v>
      </c>
      <c r="V124" s="816"/>
      <c r="W124" s="21"/>
      <c r="X124" s="21"/>
      <c r="Y124" s="21"/>
      <c r="Z124" s="21"/>
      <c r="AA124" s="223"/>
    </row>
    <row r="125" spans="21:27">
      <c r="U125" s="816">
        <v>120</v>
      </c>
      <c r="V125" s="816"/>
      <c r="W125" s="21"/>
      <c r="X125" s="21"/>
      <c r="Y125" s="21"/>
      <c r="Z125" s="21"/>
      <c r="AA125" s="223"/>
    </row>
    <row r="126" spans="21:27">
      <c r="U126" s="816">
        <v>121</v>
      </c>
      <c r="V126" s="816"/>
      <c r="W126" s="21">
        <v>20</v>
      </c>
      <c r="X126" s="21"/>
      <c r="Y126" s="21"/>
      <c r="Z126" s="21"/>
      <c r="AA126" s="223"/>
    </row>
    <row r="127" spans="21:27">
      <c r="U127" s="816">
        <v>122</v>
      </c>
      <c r="V127" s="816"/>
      <c r="W127" s="21"/>
      <c r="X127" s="21"/>
      <c r="Y127" s="21"/>
      <c r="Z127" s="21"/>
      <c r="AA127" s="223"/>
    </row>
    <row r="128" spans="21:27">
      <c r="U128" s="816">
        <v>123</v>
      </c>
      <c r="V128" s="816"/>
      <c r="W128" s="21"/>
      <c r="X128" s="21">
        <v>20</v>
      </c>
      <c r="Y128" s="21"/>
      <c r="Z128" s="21"/>
      <c r="AA128" s="223"/>
    </row>
    <row r="129" spans="21:28">
      <c r="U129" s="816">
        <v>124</v>
      </c>
      <c r="V129" s="816"/>
      <c r="W129" s="21"/>
      <c r="X129" s="21">
        <v>20</v>
      </c>
      <c r="Y129" s="21"/>
      <c r="Z129" s="21"/>
      <c r="AA129" s="223"/>
    </row>
    <row r="130" spans="21:28">
      <c r="U130" s="816">
        <v>125</v>
      </c>
      <c r="V130" s="816"/>
      <c r="W130" s="21"/>
      <c r="X130" s="21"/>
      <c r="Y130" s="21"/>
      <c r="Z130" s="21"/>
      <c r="AA130" s="223"/>
    </row>
    <row r="131" spans="21:28">
      <c r="U131" s="816">
        <v>126</v>
      </c>
      <c r="V131" s="816"/>
      <c r="W131" s="21"/>
      <c r="X131" s="21"/>
      <c r="Y131" s="21">
        <v>20</v>
      </c>
      <c r="Z131" s="21"/>
      <c r="AA131" s="223"/>
    </row>
    <row r="132" spans="21:28">
      <c r="U132" s="816">
        <v>127</v>
      </c>
      <c r="V132" s="816"/>
      <c r="W132" s="21"/>
      <c r="X132" s="21"/>
      <c r="Y132" s="21"/>
      <c r="Z132" s="21"/>
      <c r="AA132" s="223"/>
    </row>
    <row r="133" spans="21:28">
      <c r="U133" s="816">
        <v>128</v>
      </c>
      <c r="V133" s="816"/>
      <c r="W133" s="21"/>
      <c r="X133" s="21"/>
      <c r="Y133" s="21">
        <v>20</v>
      </c>
      <c r="Z133" s="21"/>
      <c r="AA133" s="223"/>
    </row>
    <row r="134" spans="21:28">
      <c r="U134" s="816">
        <v>129</v>
      </c>
      <c r="V134" s="816"/>
      <c r="W134" s="21"/>
      <c r="X134" s="21"/>
      <c r="Y134" s="21"/>
      <c r="Z134" s="21"/>
      <c r="AA134" s="223"/>
    </row>
    <row r="135" spans="21:28">
      <c r="U135" s="816">
        <v>130</v>
      </c>
      <c r="V135" s="816"/>
      <c r="W135" s="21"/>
      <c r="X135" s="21">
        <v>15</v>
      </c>
      <c r="Y135" s="21"/>
      <c r="Z135" s="21"/>
      <c r="AA135" s="223"/>
    </row>
    <row r="136" spans="21:28">
      <c r="U136" s="816">
        <v>131</v>
      </c>
      <c r="V136" s="816"/>
      <c r="W136" s="21"/>
      <c r="X136" s="21"/>
      <c r="Y136" s="21"/>
      <c r="Z136" s="21"/>
      <c r="AA136" s="223"/>
    </row>
    <row r="137" spans="21:28">
      <c r="U137" s="816">
        <v>132</v>
      </c>
      <c r="V137" s="816"/>
      <c r="W137" s="21">
        <v>20</v>
      </c>
      <c r="X137" s="21"/>
      <c r="Y137" s="21"/>
      <c r="Z137" s="21"/>
      <c r="AA137" s="223"/>
    </row>
    <row r="138" spans="21:28">
      <c r="U138" s="816">
        <v>133</v>
      </c>
      <c r="V138" s="816"/>
      <c r="W138" s="223">
        <v>20</v>
      </c>
    </row>
    <row r="139" spans="21:28">
      <c r="U139" s="816">
        <v>134</v>
      </c>
      <c r="V139" s="816"/>
      <c r="W139" s="223"/>
    </row>
    <row r="140" spans="21:28">
      <c r="U140" s="816">
        <v>135</v>
      </c>
      <c r="V140" s="816"/>
      <c r="W140" s="223"/>
    </row>
    <row r="141" spans="21:28">
      <c r="U141" s="816">
        <v>136</v>
      </c>
      <c r="V141" s="816"/>
      <c r="W141" s="223"/>
    </row>
    <row r="142" spans="21:28">
      <c r="U142" s="816">
        <v>137</v>
      </c>
      <c r="V142" s="816"/>
      <c r="W142" s="223">
        <v>20</v>
      </c>
    </row>
    <row r="143" spans="21:28">
      <c r="U143" s="816" t="s">
        <v>834</v>
      </c>
      <c r="V143" s="816"/>
      <c r="W143" s="223"/>
      <c r="AB143">
        <v>175</v>
      </c>
    </row>
    <row r="144" spans="21:28">
      <c r="U144" s="816">
        <v>139</v>
      </c>
      <c r="V144" s="816"/>
      <c r="W144" s="223"/>
    </row>
    <row r="145" spans="21:27">
      <c r="U145" s="816"/>
      <c r="V145" s="816"/>
      <c r="W145" s="223"/>
    </row>
    <row r="146" spans="21:27">
      <c r="U146" s="816" t="s">
        <v>749</v>
      </c>
      <c r="V146" s="816"/>
      <c r="W146" s="223"/>
    </row>
    <row r="147" spans="21:27">
      <c r="U147" s="816">
        <v>1</v>
      </c>
      <c r="V147" s="816"/>
      <c r="W147" s="223"/>
      <c r="X147" s="11">
        <v>15</v>
      </c>
      <c r="Y147" s="11">
        <v>15</v>
      </c>
      <c r="AA147">
        <v>45</v>
      </c>
    </row>
    <row r="148" spans="21:27">
      <c r="U148" s="816">
        <v>2</v>
      </c>
      <c r="V148" s="816"/>
      <c r="W148" s="223"/>
    </row>
    <row r="149" spans="21:27">
      <c r="U149" s="816">
        <v>3</v>
      </c>
      <c r="V149" s="816"/>
      <c r="W149" s="223"/>
      <c r="X149" s="11">
        <v>20</v>
      </c>
    </row>
    <row r="150" spans="21:27">
      <c r="U150" s="816">
        <v>4</v>
      </c>
      <c r="V150" s="816"/>
      <c r="W150" s="223"/>
    </row>
    <row r="151" spans="21:27">
      <c r="U151" s="816">
        <v>5</v>
      </c>
      <c r="V151" s="816"/>
      <c r="W151" s="223">
        <v>20</v>
      </c>
      <c r="Y151" s="11">
        <v>15</v>
      </c>
    </row>
    <row r="152" spans="21:27">
      <c r="U152" s="816">
        <v>6</v>
      </c>
      <c r="V152" s="816"/>
      <c r="W152" s="223"/>
    </row>
    <row r="153" spans="21:27">
      <c r="U153" s="816">
        <v>7</v>
      </c>
      <c r="V153" s="816"/>
      <c r="W153" s="223"/>
      <c r="X153" s="11">
        <v>20</v>
      </c>
    </row>
    <row r="154" spans="21:27">
      <c r="U154" s="816">
        <v>8</v>
      </c>
      <c r="V154" s="816"/>
      <c r="W154" s="223"/>
    </row>
    <row r="155" spans="21:27">
      <c r="U155" s="816">
        <v>9</v>
      </c>
      <c r="V155" s="816"/>
      <c r="W155" s="223"/>
      <c r="X155" s="11">
        <v>20</v>
      </c>
    </row>
    <row r="156" spans="21:27">
      <c r="U156" s="816">
        <v>10</v>
      </c>
      <c r="V156" s="816"/>
      <c r="W156" s="223">
        <v>20</v>
      </c>
    </row>
    <row r="157" spans="21:27">
      <c r="U157" s="816">
        <v>11</v>
      </c>
      <c r="V157" s="816"/>
      <c r="W157" s="223"/>
      <c r="Y157" s="11">
        <v>25</v>
      </c>
    </row>
    <row r="158" spans="21:27">
      <c r="U158" s="816">
        <v>12</v>
      </c>
      <c r="V158" s="816">
        <v>6</v>
      </c>
      <c r="W158" s="223">
        <v>20</v>
      </c>
    </row>
    <row r="159" spans="21:27">
      <c r="U159" s="816">
        <v>13</v>
      </c>
      <c r="V159" s="816"/>
      <c r="W159" s="223"/>
    </row>
    <row r="160" spans="21:27">
      <c r="U160" s="816">
        <v>14</v>
      </c>
      <c r="V160" s="816"/>
      <c r="W160" s="223"/>
      <c r="X160" s="11">
        <v>20</v>
      </c>
    </row>
    <row r="161" spans="21:25">
      <c r="U161" s="816">
        <v>15</v>
      </c>
      <c r="V161" s="816"/>
      <c r="W161" s="223"/>
    </row>
    <row r="162" spans="21:25">
      <c r="U162" s="820" t="s">
        <v>835</v>
      </c>
      <c r="V162" s="816"/>
      <c r="W162" s="223"/>
      <c r="Y162" s="11">
        <v>30</v>
      </c>
    </row>
    <row r="163" spans="21:25">
      <c r="U163" s="816">
        <v>17</v>
      </c>
      <c r="V163" s="816"/>
      <c r="W163" s="223"/>
    </row>
    <row r="164" spans="21:25">
      <c r="U164" s="816">
        <v>18</v>
      </c>
      <c r="V164" s="816"/>
      <c r="W164" s="223"/>
      <c r="Y164" s="11">
        <v>30</v>
      </c>
    </row>
    <row r="165" spans="21:25">
      <c r="U165" s="816">
        <v>19</v>
      </c>
      <c r="V165" s="816"/>
      <c r="W165" s="223"/>
      <c r="X165" s="11">
        <v>25</v>
      </c>
    </row>
    <row r="166" spans="21:25">
      <c r="U166" s="816">
        <v>20</v>
      </c>
      <c r="V166" s="816"/>
      <c r="W166" s="223"/>
      <c r="X166" s="11">
        <v>25</v>
      </c>
    </row>
    <row r="167" spans="21:25">
      <c r="U167" s="816">
        <v>21</v>
      </c>
      <c r="V167" s="816"/>
      <c r="W167" s="223">
        <v>25</v>
      </c>
    </row>
    <row r="168" spans="21:25">
      <c r="U168" s="816">
        <v>22</v>
      </c>
      <c r="V168" s="816"/>
      <c r="W168" s="223"/>
      <c r="Y168" s="11">
        <v>25</v>
      </c>
    </row>
    <row r="169" spans="21:25">
      <c r="U169" s="816">
        <v>23</v>
      </c>
      <c r="V169" s="816"/>
      <c r="W169" s="223"/>
    </row>
    <row r="170" spans="21:25">
      <c r="U170" s="816">
        <v>24</v>
      </c>
      <c r="V170" s="816"/>
      <c r="W170" s="223"/>
      <c r="X170" s="11">
        <v>30</v>
      </c>
    </row>
    <row r="171" spans="21:25">
      <c r="U171" s="816">
        <v>25</v>
      </c>
      <c r="V171" s="816"/>
      <c r="W171" s="223"/>
      <c r="Y171" s="11">
        <v>25</v>
      </c>
    </row>
    <row r="172" spans="21:25">
      <c r="U172" s="816">
        <v>26</v>
      </c>
      <c r="V172" s="816"/>
      <c r="W172" s="223"/>
    </row>
    <row r="173" spans="21:25">
      <c r="U173" s="816">
        <v>27</v>
      </c>
      <c r="V173" s="816"/>
      <c r="W173" s="223"/>
      <c r="Y173" s="11">
        <v>45</v>
      </c>
    </row>
    <row r="174" spans="21:25">
      <c r="U174" s="816">
        <v>28</v>
      </c>
      <c r="V174" s="816"/>
      <c r="W174" s="223"/>
      <c r="X174" s="11">
        <v>45</v>
      </c>
    </row>
    <row r="175" spans="21:25">
      <c r="U175" s="816">
        <v>29</v>
      </c>
      <c r="V175" s="816"/>
      <c r="W175" s="223"/>
      <c r="Y175" s="11">
        <v>40</v>
      </c>
    </row>
    <row r="176" spans="21:25">
      <c r="U176" s="816">
        <v>30</v>
      </c>
      <c r="V176" s="816"/>
      <c r="W176" s="223"/>
    </row>
    <row r="177" spans="21:26">
      <c r="U177" s="816">
        <v>31</v>
      </c>
      <c r="V177" s="816"/>
      <c r="W177" s="223"/>
      <c r="Y177" s="11">
        <v>10</v>
      </c>
      <c r="Z177" s="11">
        <v>10</v>
      </c>
    </row>
    <row r="178" spans="21:26">
      <c r="U178" s="816">
        <v>32</v>
      </c>
      <c r="V178" s="816"/>
      <c r="W178" s="223">
        <v>20</v>
      </c>
      <c r="Z178" s="11">
        <v>20</v>
      </c>
    </row>
    <row r="179" spans="21:26">
      <c r="U179" s="816">
        <v>33</v>
      </c>
      <c r="V179" s="816"/>
      <c r="W179" s="223">
        <v>20</v>
      </c>
    </row>
    <row r="180" spans="21:26">
      <c r="U180" s="816">
        <v>34</v>
      </c>
      <c r="V180" s="816"/>
      <c r="W180" s="223"/>
    </row>
    <row r="181" spans="21:26">
      <c r="U181" s="816">
        <v>35</v>
      </c>
      <c r="V181" s="816"/>
      <c r="W181" s="223"/>
    </row>
    <row r="182" spans="21:26">
      <c r="U182" s="816">
        <v>36</v>
      </c>
      <c r="V182" s="816"/>
      <c r="W182" s="223">
        <v>25</v>
      </c>
    </row>
    <row r="183" spans="21:26">
      <c r="U183" s="816">
        <v>37</v>
      </c>
      <c r="V183" s="816"/>
      <c r="W183" s="223"/>
    </row>
    <row r="184" spans="21:26">
      <c r="U184" s="816">
        <v>38</v>
      </c>
      <c r="V184" s="816"/>
      <c r="W184" s="223">
        <v>20</v>
      </c>
    </row>
    <row r="185" spans="21:26">
      <c r="U185" s="816">
        <v>39</v>
      </c>
      <c r="V185" s="816"/>
      <c r="W185" s="223"/>
    </row>
    <row r="186" spans="21:26">
      <c r="U186" s="816">
        <v>40</v>
      </c>
      <c r="V186" s="816"/>
      <c r="W186" s="223"/>
    </row>
    <row r="187" spans="21:26">
      <c r="U187" s="816">
        <v>41</v>
      </c>
      <c r="V187" s="816"/>
      <c r="W187" s="223">
        <v>20</v>
      </c>
    </row>
    <row r="188" spans="21:26">
      <c r="U188" s="816">
        <v>42</v>
      </c>
      <c r="V188" s="816"/>
      <c r="W188" s="223">
        <v>20</v>
      </c>
    </row>
    <row r="189" spans="21:26">
      <c r="U189" s="816">
        <v>43</v>
      </c>
      <c r="V189" s="816"/>
      <c r="W189" s="223"/>
    </row>
    <row r="190" spans="21:26">
      <c r="U190" s="816">
        <v>44</v>
      </c>
      <c r="V190" s="816"/>
      <c r="W190" s="223"/>
      <c r="X190" s="11">
        <v>20</v>
      </c>
    </row>
    <row r="191" spans="21:26">
      <c r="U191" s="816" t="s">
        <v>841</v>
      </c>
      <c r="V191" s="816"/>
      <c r="W191" s="223"/>
      <c r="Z191" s="11">
        <v>115</v>
      </c>
    </row>
    <row r="192" spans="21:26">
      <c r="U192" s="816">
        <v>46</v>
      </c>
      <c r="V192" s="816"/>
      <c r="W192" s="223"/>
    </row>
    <row r="193" spans="21:26">
      <c r="U193" s="816">
        <v>47</v>
      </c>
      <c r="V193" s="816"/>
      <c r="W193" s="223"/>
    </row>
    <row r="194" spans="21:26">
      <c r="U194" s="816">
        <v>48</v>
      </c>
      <c r="V194" s="816"/>
      <c r="W194" s="223"/>
    </row>
    <row r="195" spans="21:26">
      <c r="U195" s="816">
        <v>49</v>
      </c>
      <c r="V195" s="816"/>
      <c r="W195" s="223"/>
    </row>
    <row r="196" spans="21:26">
      <c r="U196" s="816">
        <v>50</v>
      </c>
      <c r="V196" s="816"/>
      <c r="W196" s="223"/>
    </row>
    <row r="197" spans="21:26">
      <c r="U197" s="816">
        <v>51</v>
      </c>
      <c r="V197" s="816"/>
      <c r="W197" s="223"/>
    </row>
    <row r="198" spans="21:26">
      <c r="U198" s="816">
        <v>52</v>
      </c>
      <c r="V198" s="816"/>
      <c r="W198" s="223"/>
    </row>
    <row r="199" spans="21:26">
      <c r="U199" s="816">
        <v>53</v>
      </c>
      <c r="V199" s="816"/>
      <c r="W199" s="223"/>
    </row>
    <row r="200" spans="21:26">
      <c r="U200" s="816">
        <v>54</v>
      </c>
      <c r="V200" s="816"/>
      <c r="W200" s="223"/>
    </row>
    <row r="201" spans="21:26">
      <c r="U201" s="816">
        <v>55</v>
      </c>
      <c r="V201" s="816"/>
      <c r="W201" s="223"/>
    </row>
    <row r="202" spans="21:26">
      <c r="U202" s="816">
        <v>56</v>
      </c>
      <c r="V202" s="816"/>
      <c r="W202" s="223"/>
    </row>
    <row r="203" spans="21:26">
      <c r="U203" s="816">
        <v>57</v>
      </c>
      <c r="V203" s="816"/>
      <c r="W203" s="223"/>
    </row>
    <row r="204" spans="21:26">
      <c r="U204" s="816">
        <v>58</v>
      </c>
      <c r="V204" s="816"/>
      <c r="W204" s="223"/>
      <c r="Z204" s="11">
        <v>10</v>
      </c>
    </row>
    <row r="205" spans="21:26">
      <c r="U205" s="816">
        <v>59</v>
      </c>
      <c r="V205" s="816"/>
      <c r="W205" s="223"/>
      <c r="Z205" s="11">
        <v>25</v>
      </c>
    </row>
    <row r="206" spans="21:26">
      <c r="U206" s="816">
        <v>60</v>
      </c>
      <c r="V206" s="816"/>
      <c r="W206" s="223"/>
      <c r="Y206" s="11">
        <v>20</v>
      </c>
    </row>
    <row r="207" spans="21:26">
      <c r="U207" s="816">
        <v>61</v>
      </c>
      <c r="V207" s="816"/>
      <c r="W207" s="223"/>
      <c r="X207" s="11">
        <v>20</v>
      </c>
    </row>
    <row r="208" spans="21:26">
      <c r="U208" s="816">
        <v>62</v>
      </c>
      <c r="V208" s="816"/>
      <c r="W208" s="223"/>
    </row>
    <row r="209" spans="21:26">
      <c r="U209" s="816">
        <v>63</v>
      </c>
      <c r="V209" s="816"/>
      <c r="W209" s="223"/>
    </row>
    <row r="210" spans="21:26">
      <c r="U210" s="816">
        <v>64</v>
      </c>
      <c r="V210" s="816"/>
      <c r="W210" s="223">
        <v>20</v>
      </c>
    </row>
    <row r="211" spans="21:26">
      <c r="U211" s="816">
        <v>65</v>
      </c>
      <c r="V211" s="816"/>
      <c r="W211" s="223">
        <v>25</v>
      </c>
    </row>
    <row r="212" spans="21:26">
      <c r="U212" s="816">
        <v>66</v>
      </c>
      <c r="V212" s="816"/>
      <c r="W212" s="223">
        <v>30</v>
      </c>
    </row>
    <row r="213" spans="21:26">
      <c r="U213" s="816">
        <v>67</v>
      </c>
      <c r="V213" s="816"/>
      <c r="W213" s="223"/>
    </row>
    <row r="214" spans="21:26">
      <c r="U214" s="816">
        <v>68</v>
      </c>
      <c r="V214" s="816"/>
      <c r="W214" s="223"/>
    </row>
    <row r="215" spans="21:26">
      <c r="U215" s="816">
        <v>69</v>
      </c>
      <c r="V215" s="816"/>
      <c r="W215" s="223"/>
    </row>
    <row r="216" spans="21:26">
      <c r="U216" s="816">
        <v>70</v>
      </c>
      <c r="V216" s="816"/>
      <c r="W216" s="223">
        <v>25</v>
      </c>
    </row>
    <row r="217" spans="21:26">
      <c r="U217" s="816">
        <v>71</v>
      </c>
      <c r="V217" s="816"/>
      <c r="W217" s="223"/>
    </row>
    <row r="218" spans="21:26">
      <c r="U218" s="816">
        <v>72</v>
      </c>
      <c r="V218" s="816"/>
      <c r="W218" s="223"/>
    </row>
    <row r="219" spans="21:26">
      <c r="U219" s="816">
        <v>73</v>
      </c>
      <c r="V219" s="816"/>
      <c r="W219" s="223"/>
    </row>
    <row r="220" spans="21:26">
      <c r="U220" s="816">
        <v>74</v>
      </c>
      <c r="V220" s="816"/>
      <c r="W220" s="223"/>
      <c r="Y220" s="11">
        <v>25</v>
      </c>
    </row>
    <row r="221" spans="21:26">
      <c r="U221" s="816">
        <v>75</v>
      </c>
      <c r="V221" s="816"/>
      <c r="W221" s="223"/>
      <c r="Z221" s="11">
        <v>10</v>
      </c>
    </row>
    <row r="222" spans="21:26">
      <c r="U222" s="816" t="s">
        <v>839</v>
      </c>
      <c r="V222" s="816"/>
      <c r="W222" s="223"/>
      <c r="Z222" s="11">
        <v>70</v>
      </c>
    </row>
    <row r="223" spans="21:26">
      <c r="U223" s="816">
        <v>77</v>
      </c>
      <c r="V223" s="816"/>
      <c r="W223" s="223"/>
      <c r="X223" s="11">
        <v>20</v>
      </c>
    </row>
    <row r="224" spans="21:26">
      <c r="U224" s="816">
        <v>78</v>
      </c>
      <c r="V224" s="816"/>
      <c r="W224" s="223"/>
      <c r="Z224" s="11">
        <v>15</v>
      </c>
    </row>
    <row r="225" spans="21:24">
      <c r="U225" s="816">
        <v>79</v>
      </c>
      <c r="V225" s="816"/>
      <c r="W225" s="223"/>
      <c r="X225" s="11">
        <v>20</v>
      </c>
    </row>
    <row r="226" spans="21:24">
      <c r="U226" s="816">
        <v>80</v>
      </c>
      <c r="V226" s="816"/>
      <c r="W226" s="223"/>
    </row>
    <row r="227" spans="21:24">
      <c r="U227" s="816">
        <v>81</v>
      </c>
      <c r="V227" s="816"/>
      <c r="W227" s="223"/>
      <c r="X227" s="11">
        <v>20</v>
      </c>
    </row>
    <row r="228" spans="21:24">
      <c r="U228" s="816">
        <v>82</v>
      </c>
      <c r="V228" s="816"/>
      <c r="W228" s="223"/>
    </row>
    <row r="229" spans="21:24">
      <c r="U229" s="816">
        <v>83</v>
      </c>
      <c r="V229" s="816"/>
      <c r="W229" s="223"/>
      <c r="X229" s="11">
        <v>20</v>
      </c>
    </row>
    <row r="230" spans="21:24">
      <c r="U230" s="816">
        <v>84</v>
      </c>
      <c r="V230" s="816"/>
      <c r="W230" s="223"/>
      <c r="X230" s="11">
        <v>15</v>
      </c>
    </row>
    <row r="231" spans="21:24">
      <c r="U231" s="816">
        <v>85</v>
      </c>
      <c r="V231" s="816"/>
      <c r="W231" s="223"/>
      <c r="X231" s="11">
        <v>20</v>
      </c>
    </row>
    <row r="232" spans="21:24">
      <c r="U232" s="816">
        <v>86</v>
      </c>
      <c r="V232" s="816"/>
      <c r="W232" s="223"/>
      <c r="X232" s="11">
        <v>15</v>
      </c>
    </row>
    <row r="233" spans="21:24">
      <c r="U233" s="816">
        <v>87</v>
      </c>
      <c r="V233" s="816"/>
      <c r="W233" s="223"/>
      <c r="X233" s="11">
        <v>15</v>
      </c>
    </row>
    <row r="234" spans="21:24">
      <c r="U234" s="816">
        <v>88</v>
      </c>
      <c r="V234" s="816"/>
      <c r="W234" s="223"/>
      <c r="X234" s="11">
        <v>20</v>
      </c>
    </row>
    <row r="235" spans="21:24">
      <c r="U235" s="816">
        <v>89</v>
      </c>
      <c r="V235" s="816"/>
      <c r="W235" s="223"/>
    </row>
    <row r="236" spans="21:24">
      <c r="U236" s="816">
        <v>90</v>
      </c>
      <c r="V236" s="816"/>
      <c r="W236" s="223"/>
    </row>
    <row r="237" spans="21:24">
      <c r="U237" s="816">
        <v>91</v>
      </c>
      <c r="V237" s="816"/>
      <c r="W237" s="223"/>
    </row>
    <row r="238" spans="21:24">
      <c r="U238" s="816">
        <v>92</v>
      </c>
      <c r="V238" s="816"/>
      <c r="W238" s="223"/>
    </row>
    <row r="239" spans="21:24">
      <c r="U239" s="816">
        <v>93</v>
      </c>
      <c r="V239" s="816"/>
      <c r="W239" s="223"/>
    </row>
    <row r="240" spans="21:24">
      <c r="U240" s="816">
        <v>94</v>
      </c>
      <c r="V240" s="816"/>
      <c r="W240" s="223"/>
    </row>
    <row r="241" spans="21:26">
      <c r="U241" s="816">
        <v>95</v>
      </c>
      <c r="V241" s="816"/>
      <c r="W241" s="223"/>
    </row>
    <row r="242" spans="21:26">
      <c r="U242" s="816">
        <v>96</v>
      </c>
      <c r="V242" s="816"/>
      <c r="W242" s="223"/>
    </row>
    <row r="243" spans="21:26">
      <c r="U243" s="816">
        <v>97</v>
      </c>
      <c r="V243" s="816"/>
      <c r="W243" s="223"/>
    </row>
    <row r="244" spans="21:26">
      <c r="U244" s="816">
        <v>98</v>
      </c>
      <c r="V244" s="816"/>
      <c r="W244" s="223"/>
    </row>
    <row r="245" spans="21:26">
      <c r="U245" s="816">
        <v>99</v>
      </c>
      <c r="V245" s="816"/>
      <c r="W245" s="223"/>
    </row>
    <row r="246" spans="21:26">
      <c r="U246" s="816">
        <v>100</v>
      </c>
      <c r="V246" s="816"/>
      <c r="W246" s="223"/>
    </row>
    <row r="247" spans="21:26">
      <c r="U247" s="816">
        <v>101</v>
      </c>
      <c r="V247" s="816"/>
      <c r="W247" s="223"/>
    </row>
    <row r="248" spans="21:26">
      <c r="U248" s="816" t="s">
        <v>838</v>
      </c>
      <c r="V248" s="816"/>
      <c r="W248" s="223">
        <v>50</v>
      </c>
      <c r="Z248" s="11">
        <v>255</v>
      </c>
    </row>
    <row r="249" spans="21:26">
      <c r="U249" s="816">
        <v>103</v>
      </c>
      <c r="V249" s="816"/>
      <c r="W249" s="223"/>
    </row>
    <row r="250" spans="21:26">
      <c r="U250" s="816">
        <v>104</v>
      </c>
      <c r="V250" s="816"/>
      <c r="W250" s="223"/>
    </row>
    <row r="251" spans="21:26">
      <c r="U251" s="816">
        <v>105</v>
      </c>
      <c r="V251" s="816"/>
      <c r="W251" s="223"/>
      <c r="Y251" s="11">
        <v>20</v>
      </c>
    </row>
    <row r="252" spans="21:26">
      <c r="U252" s="816">
        <v>106</v>
      </c>
      <c r="V252" s="816"/>
      <c r="W252" s="223"/>
      <c r="X252" s="11">
        <v>20</v>
      </c>
    </row>
    <row r="253" spans="21:26">
      <c r="U253" s="816">
        <v>107</v>
      </c>
      <c r="V253" s="816"/>
      <c r="W253" s="223"/>
    </row>
    <row r="254" spans="21:26">
      <c r="U254" s="816">
        <v>108</v>
      </c>
      <c r="V254" s="816"/>
      <c r="W254" s="223"/>
    </row>
    <row r="255" spans="21:26">
      <c r="U255" s="816">
        <v>109</v>
      </c>
      <c r="V255" s="816"/>
      <c r="W255" s="223"/>
    </row>
    <row r="256" spans="21:26">
      <c r="U256" s="816">
        <v>110</v>
      </c>
      <c r="V256" s="816"/>
      <c r="W256" s="223"/>
    </row>
    <row r="257" spans="21:25">
      <c r="U257" s="816">
        <v>111</v>
      </c>
      <c r="V257" s="816"/>
      <c r="W257" s="223"/>
    </row>
    <row r="258" spans="21:25">
      <c r="U258" s="816">
        <v>112</v>
      </c>
      <c r="V258" s="816"/>
      <c r="W258" s="223"/>
    </row>
    <row r="259" spans="21:25">
      <c r="U259" s="816">
        <v>113</v>
      </c>
      <c r="V259" s="816"/>
      <c r="W259" s="223"/>
    </row>
    <row r="260" spans="21:25">
      <c r="U260" s="816">
        <v>114</v>
      </c>
      <c r="V260" s="816"/>
      <c r="W260" s="223"/>
    </row>
    <row r="261" spans="21:25">
      <c r="U261" s="816">
        <v>115</v>
      </c>
      <c r="V261" s="816"/>
      <c r="W261" s="223"/>
    </row>
    <row r="262" spans="21:25">
      <c r="U262" s="816">
        <v>116</v>
      </c>
      <c r="V262" s="816"/>
      <c r="W262" s="223"/>
    </row>
    <row r="263" spans="21:25">
      <c r="U263" s="816">
        <v>117</v>
      </c>
      <c r="V263" s="816"/>
      <c r="W263" s="223"/>
      <c r="Y263" s="11">
        <v>20</v>
      </c>
    </row>
    <row r="264" spans="21:25">
      <c r="U264" s="816">
        <v>118</v>
      </c>
      <c r="V264" s="816"/>
      <c r="W264" s="223"/>
    </row>
    <row r="265" spans="21:25">
      <c r="U265" s="816">
        <v>119</v>
      </c>
      <c r="V265" s="816"/>
      <c r="W265" s="223"/>
    </row>
    <row r="266" spans="21:25">
      <c r="U266" s="816">
        <v>120</v>
      </c>
      <c r="V266" s="816"/>
      <c r="W266" s="223"/>
    </row>
    <row r="267" spans="21:25">
      <c r="U267" s="816">
        <v>121</v>
      </c>
      <c r="V267" s="816"/>
      <c r="W267" s="223"/>
    </row>
    <row r="268" spans="21:25">
      <c r="U268" s="816">
        <v>122</v>
      </c>
      <c r="V268" s="816"/>
      <c r="W268" s="223"/>
    </row>
    <row r="269" spans="21:25">
      <c r="U269" s="816">
        <v>123</v>
      </c>
      <c r="V269" s="816"/>
      <c r="W269" s="223">
        <v>20</v>
      </c>
    </row>
    <row r="270" spans="21:25">
      <c r="U270" s="816">
        <v>124</v>
      </c>
      <c r="V270" s="816"/>
      <c r="W270" s="223"/>
    </row>
    <row r="271" spans="21:25">
      <c r="U271" s="816">
        <v>125</v>
      </c>
      <c r="V271" s="816"/>
      <c r="W271" s="223"/>
    </row>
    <row r="272" spans="21:25">
      <c r="U272" s="816">
        <v>126</v>
      </c>
      <c r="V272" s="816"/>
      <c r="W272" s="223"/>
      <c r="X272" s="11">
        <v>25</v>
      </c>
    </row>
    <row r="273" spans="21:26">
      <c r="U273" s="816">
        <v>127</v>
      </c>
      <c r="V273" s="816"/>
      <c r="W273" s="223"/>
    </row>
    <row r="274" spans="21:26">
      <c r="U274" s="816" t="s">
        <v>840</v>
      </c>
      <c r="V274" s="816"/>
      <c r="W274" s="223"/>
      <c r="Z274" s="11">
        <v>115</v>
      </c>
    </row>
    <row r="275" spans="21:26">
      <c r="U275" s="816">
        <v>129</v>
      </c>
      <c r="V275" s="816"/>
      <c r="W275" s="223"/>
      <c r="X275" s="11">
        <v>20</v>
      </c>
    </row>
    <row r="276" spans="21:26">
      <c r="U276" s="816">
        <v>130</v>
      </c>
      <c r="V276" s="816"/>
      <c r="W276" s="223">
        <v>20</v>
      </c>
    </row>
    <row r="277" spans="21:26">
      <c r="U277" s="816">
        <v>131</v>
      </c>
      <c r="V277" s="816"/>
      <c r="W277" s="223"/>
      <c r="Y277" s="11">
        <v>20</v>
      </c>
    </row>
    <row r="278" spans="21:26">
      <c r="U278" s="816">
        <v>132</v>
      </c>
      <c r="V278" s="816"/>
      <c r="W278" s="223"/>
      <c r="Y278" s="11">
        <v>20</v>
      </c>
    </row>
    <row r="279" spans="21:26">
      <c r="U279" s="816">
        <v>133</v>
      </c>
      <c r="V279" s="816"/>
      <c r="W279" s="223"/>
      <c r="Y279" s="11">
        <v>10</v>
      </c>
    </row>
    <row r="280" spans="21:26">
      <c r="U280" s="816">
        <v>134</v>
      </c>
      <c r="V280" s="816"/>
      <c r="W280" s="223"/>
      <c r="Y280" s="11">
        <f>15+20</f>
        <v>35</v>
      </c>
    </row>
    <row r="281" spans="21:26">
      <c r="U281" s="816" t="s">
        <v>842</v>
      </c>
      <c r="V281" s="816"/>
      <c r="W281" s="223"/>
      <c r="Z281" s="11">
        <v>140</v>
      </c>
    </row>
    <row r="282" spans="21:26">
      <c r="U282" s="816">
        <v>136</v>
      </c>
      <c r="V282" s="816"/>
      <c r="W282" s="223">
        <v>20</v>
      </c>
    </row>
    <row r="283" spans="21:26">
      <c r="U283" s="816">
        <v>137</v>
      </c>
      <c r="V283" s="816"/>
      <c r="W283" s="223">
        <v>20</v>
      </c>
    </row>
    <row r="284" spans="21:26">
      <c r="U284" s="816">
        <v>138</v>
      </c>
      <c r="V284" s="816"/>
      <c r="W284" s="223"/>
    </row>
    <row r="285" spans="21:26">
      <c r="U285" s="816">
        <v>139</v>
      </c>
      <c r="V285" s="816"/>
      <c r="W285" s="223">
        <v>20</v>
      </c>
    </row>
    <row r="286" spans="21:26">
      <c r="U286" s="816">
        <v>140</v>
      </c>
      <c r="V286" s="816"/>
      <c r="W286" s="223"/>
    </row>
    <row r="287" spans="21:26">
      <c r="U287" s="816">
        <v>141</v>
      </c>
      <c r="V287" s="816"/>
      <c r="W287" s="223">
        <v>20</v>
      </c>
    </row>
    <row r="288" spans="21:26">
      <c r="U288" s="816">
        <v>142</v>
      </c>
      <c r="V288" s="816"/>
      <c r="W288" s="223">
        <v>20</v>
      </c>
    </row>
    <row r="289" spans="21:25">
      <c r="U289" s="816">
        <v>143</v>
      </c>
      <c r="V289" s="816"/>
      <c r="W289" s="223"/>
    </row>
    <row r="290" spans="21:25">
      <c r="U290" s="816">
        <v>144</v>
      </c>
      <c r="V290" s="816"/>
      <c r="W290" s="223"/>
    </row>
    <row r="291" spans="21:25">
      <c r="U291" s="816">
        <v>145</v>
      </c>
      <c r="V291" s="816"/>
      <c r="W291" s="223">
        <v>20</v>
      </c>
    </row>
    <row r="292" spans="21:25">
      <c r="U292" s="816">
        <v>146</v>
      </c>
      <c r="V292" s="816"/>
      <c r="W292" s="223"/>
    </row>
    <row r="293" spans="21:25">
      <c r="U293" s="816">
        <v>147</v>
      </c>
      <c r="V293" s="816"/>
      <c r="W293" s="223"/>
    </row>
    <row r="294" spans="21:25">
      <c r="U294" s="816">
        <v>148</v>
      </c>
      <c r="V294" s="816"/>
      <c r="W294" s="223"/>
      <c r="Y294" s="11">
        <v>20</v>
      </c>
    </row>
    <row r="295" spans="21:25">
      <c r="U295" s="816">
        <v>149</v>
      </c>
      <c r="V295" s="816"/>
      <c r="W295" s="223">
        <v>20</v>
      </c>
    </row>
    <row r="296" spans="21:25">
      <c r="U296" s="816">
        <v>150</v>
      </c>
      <c r="V296" s="816"/>
      <c r="W296" s="223"/>
    </row>
    <row r="297" spans="21:25">
      <c r="U297" s="816">
        <v>151</v>
      </c>
      <c r="V297" s="816"/>
      <c r="W297" s="223"/>
    </row>
    <row r="298" spans="21:25">
      <c r="U298" s="816">
        <v>152</v>
      </c>
      <c r="V298" s="816"/>
      <c r="W298" s="223"/>
      <c r="X298" s="11">
        <v>20</v>
      </c>
    </row>
    <row r="299" spans="21:25">
      <c r="U299" s="816">
        <v>153</v>
      </c>
      <c r="V299" s="816"/>
      <c r="W299" s="223"/>
    </row>
    <row r="300" spans="21:25">
      <c r="U300" s="816">
        <v>154</v>
      </c>
      <c r="V300" s="816"/>
      <c r="W300" s="223"/>
    </row>
    <row r="301" spans="21:25">
      <c r="U301" s="816">
        <v>155</v>
      </c>
      <c r="V301" s="816"/>
      <c r="W301" s="223"/>
      <c r="X301" s="11">
        <v>20</v>
      </c>
    </row>
    <row r="302" spans="21:25">
      <c r="U302" s="816">
        <v>156</v>
      </c>
      <c r="V302" s="816"/>
      <c r="W302" s="223">
        <v>20</v>
      </c>
    </row>
    <row r="303" spans="21:25">
      <c r="U303" s="816">
        <v>157</v>
      </c>
      <c r="V303" s="816"/>
      <c r="W303" s="223"/>
      <c r="X303" s="11">
        <v>20</v>
      </c>
    </row>
    <row r="304" spans="21:25">
      <c r="U304" s="816">
        <v>158</v>
      </c>
      <c r="V304" s="816"/>
      <c r="W304" s="223"/>
    </row>
    <row r="305" spans="21:26">
      <c r="U305" s="816">
        <v>159</v>
      </c>
      <c r="V305" s="816"/>
      <c r="W305" s="223">
        <v>20</v>
      </c>
    </row>
    <row r="306" spans="21:26">
      <c r="U306" s="816">
        <v>160</v>
      </c>
      <c r="V306" s="816"/>
      <c r="W306" s="223"/>
    </row>
    <row r="307" spans="21:26">
      <c r="U307" s="816">
        <v>161</v>
      </c>
      <c r="V307" s="816"/>
      <c r="W307" s="223"/>
      <c r="Z307" s="11">
        <v>20</v>
      </c>
    </row>
    <row r="308" spans="21:26">
      <c r="U308" s="816">
        <v>162</v>
      </c>
      <c r="V308" s="816"/>
      <c r="W308" s="223"/>
    </row>
    <row r="309" spans="21:26">
      <c r="U309" s="816">
        <v>163</v>
      </c>
      <c r="V309" s="816"/>
      <c r="W309" s="223"/>
      <c r="Y309" s="11">
        <v>20</v>
      </c>
    </row>
    <row r="310" spans="21:26">
      <c r="U310" s="816">
        <v>164</v>
      </c>
      <c r="V310" s="816"/>
      <c r="W310" s="223"/>
    </row>
    <row r="311" spans="21:26">
      <c r="U311" s="816">
        <v>165</v>
      </c>
      <c r="V311" s="816"/>
      <c r="W311" s="223"/>
      <c r="Y311" s="11">
        <v>20</v>
      </c>
      <c r="Z311" s="11">
        <v>25</v>
      </c>
    </row>
    <row r="312" spans="21:26">
      <c r="U312" s="816">
        <v>166</v>
      </c>
      <c r="V312" s="816"/>
      <c r="W312" s="223"/>
      <c r="X312" s="11">
        <v>20</v>
      </c>
    </row>
    <row r="313" spans="21:26">
      <c r="U313" s="816">
        <v>167</v>
      </c>
      <c r="V313" s="816"/>
      <c r="W313" s="223"/>
    </row>
    <row r="314" spans="21:26">
      <c r="U314" s="816">
        <v>168</v>
      </c>
      <c r="V314" s="816"/>
      <c r="W314" s="223"/>
      <c r="Y314" s="11">
        <v>20</v>
      </c>
    </row>
    <row r="315" spans="21:26">
      <c r="U315" s="816">
        <v>169</v>
      </c>
      <c r="V315" s="816"/>
      <c r="W315" s="223"/>
      <c r="X315" s="11">
        <v>20</v>
      </c>
    </row>
    <row r="316" spans="21:26">
      <c r="U316" s="816">
        <v>170</v>
      </c>
      <c r="V316" s="816"/>
      <c r="W316" s="223"/>
      <c r="Y316" s="11">
        <v>20</v>
      </c>
    </row>
    <row r="317" spans="21:26">
      <c r="U317" s="816">
        <v>171</v>
      </c>
      <c r="V317" s="816"/>
      <c r="W317" s="223"/>
    </row>
    <row r="318" spans="21:26">
      <c r="U318" s="816">
        <v>172</v>
      </c>
      <c r="V318" s="816"/>
      <c r="W318" s="223"/>
    </row>
    <row r="319" spans="21:26">
      <c r="U319" s="816">
        <v>173</v>
      </c>
      <c r="V319" s="816"/>
      <c r="W319" s="223"/>
    </row>
    <row r="320" spans="21:26">
      <c r="U320" s="816">
        <v>174</v>
      </c>
      <c r="V320" s="816"/>
      <c r="W320" s="223">
        <v>20</v>
      </c>
    </row>
    <row r="321" spans="21:25">
      <c r="U321" s="816">
        <v>175</v>
      </c>
      <c r="V321" s="816"/>
      <c r="W321" s="223"/>
    </row>
    <row r="322" spans="21:25">
      <c r="U322" s="816">
        <v>176</v>
      </c>
      <c r="V322" s="816"/>
      <c r="W322" s="223">
        <v>20</v>
      </c>
    </row>
    <row r="323" spans="21:25">
      <c r="U323" s="816">
        <v>177</v>
      </c>
      <c r="V323" s="816"/>
      <c r="W323" s="223"/>
    </row>
    <row r="324" spans="21:25">
      <c r="U324" s="816">
        <v>178</v>
      </c>
      <c r="V324" s="816"/>
      <c r="W324" s="223"/>
    </row>
    <row r="325" spans="21:25">
      <c r="U325" s="816">
        <v>179</v>
      </c>
      <c r="V325" s="816"/>
      <c r="W325" s="223"/>
      <c r="X325" s="11">
        <v>20</v>
      </c>
    </row>
    <row r="326" spans="21:25">
      <c r="U326" s="816">
        <v>180</v>
      </c>
      <c r="V326" s="816"/>
      <c r="W326" s="223"/>
    </row>
    <row r="327" spans="21:25">
      <c r="U327" s="816">
        <v>181</v>
      </c>
      <c r="V327" s="816"/>
      <c r="W327" s="223"/>
    </row>
    <row r="328" spans="21:25">
      <c r="U328" s="816">
        <v>182</v>
      </c>
      <c r="V328" s="816"/>
      <c r="W328" s="223"/>
    </row>
    <row r="329" spans="21:25">
      <c r="U329" s="816">
        <v>183</v>
      </c>
      <c r="V329" s="816"/>
      <c r="W329" s="223"/>
    </row>
    <row r="330" spans="21:25">
      <c r="U330" s="816">
        <v>184</v>
      </c>
      <c r="V330" s="816"/>
      <c r="W330" s="223"/>
    </row>
    <row r="331" spans="21:25">
      <c r="U331" s="816">
        <v>185</v>
      </c>
      <c r="V331" s="816"/>
      <c r="W331" s="223"/>
    </row>
    <row r="332" spans="21:25">
      <c r="U332" s="816">
        <v>186</v>
      </c>
      <c r="V332" s="816"/>
      <c r="W332" s="223"/>
      <c r="Y332" s="11">
        <v>25</v>
      </c>
    </row>
    <row r="333" spans="21:25">
      <c r="U333" s="816">
        <v>187</v>
      </c>
      <c r="V333" s="816"/>
      <c r="W333" s="223"/>
      <c r="Y333" s="11">
        <v>20</v>
      </c>
    </row>
    <row r="334" spans="21:25">
      <c r="U334" s="816">
        <v>188</v>
      </c>
      <c r="V334" s="816"/>
      <c r="W334" s="223"/>
    </row>
    <row r="335" spans="21:25">
      <c r="U335" s="816">
        <v>189</v>
      </c>
      <c r="V335" s="816"/>
      <c r="W335" s="223"/>
      <c r="X335" s="11">
        <v>20</v>
      </c>
    </row>
    <row r="336" spans="21:25">
      <c r="U336" s="816">
        <v>190</v>
      </c>
      <c r="V336" s="816"/>
      <c r="W336" s="223"/>
    </row>
    <row r="337" spans="21:25">
      <c r="U337" s="816">
        <v>191</v>
      </c>
      <c r="V337" s="816"/>
      <c r="W337" s="223"/>
    </row>
    <row r="338" spans="21:25">
      <c r="U338" s="816">
        <v>192</v>
      </c>
      <c r="V338" s="816"/>
      <c r="W338" s="223"/>
      <c r="Y338" s="11">
        <v>10</v>
      </c>
    </row>
    <row r="339" spans="21:25">
      <c r="U339" s="816" t="s">
        <v>843</v>
      </c>
      <c r="V339" s="816"/>
      <c r="W339" s="223"/>
      <c r="Y339" s="11">
        <v>55</v>
      </c>
    </row>
    <row r="340" spans="21:25">
      <c r="U340" s="816">
        <v>194</v>
      </c>
      <c r="V340" s="816"/>
      <c r="W340" s="223">
        <v>25</v>
      </c>
    </row>
    <row r="341" spans="21:25">
      <c r="U341" s="816">
        <v>195</v>
      </c>
      <c r="V341" s="816"/>
      <c r="W341" s="223"/>
      <c r="X341" s="11">
        <v>20</v>
      </c>
    </row>
    <row r="342" spans="21:25">
      <c r="U342" s="816">
        <v>196</v>
      </c>
      <c r="V342" s="816"/>
      <c r="W342" s="223"/>
      <c r="Y342" s="11">
        <v>20</v>
      </c>
    </row>
    <row r="343" spans="21:25">
      <c r="U343" s="816">
        <v>197</v>
      </c>
      <c r="V343" s="816"/>
      <c r="W343" s="223"/>
      <c r="Y343" s="11">
        <v>20</v>
      </c>
    </row>
    <row r="344" spans="21:25">
      <c r="U344" s="816">
        <v>198</v>
      </c>
      <c r="V344" s="816"/>
      <c r="W344" s="223"/>
      <c r="Y344" s="11">
        <v>20</v>
      </c>
    </row>
    <row r="345" spans="21:25">
      <c r="U345" s="816">
        <v>199</v>
      </c>
      <c r="V345" s="816"/>
      <c r="W345" s="223"/>
    </row>
    <row r="346" spans="21:25">
      <c r="U346" s="816">
        <v>200</v>
      </c>
      <c r="V346" s="816"/>
      <c r="W346" s="223"/>
      <c r="X346" s="11">
        <v>20</v>
      </c>
    </row>
    <row r="347" spans="21:25">
      <c r="U347" s="816">
        <v>201</v>
      </c>
      <c r="V347" s="816"/>
      <c r="W347" s="223"/>
      <c r="X347" s="11">
        <v>20</v>
      </c>
    </row>
    <row r="348" spans="21:25">
      <c r="U348" s="816">
        <v>202</v>
      </c>
      <c r="V348" s="816"/>
      <c r="W348" s="223"/>
    </row>
    <row r="349" spans="21:25">
      <c r="U349" s="816">
        <v>203</v>
      </c>
      <c r="V349" s="816"/>
      <c r="W349" s="223"/>
      <c r="Y349" s="11">
        <v>20</v>
      </c>
    </row>
    <row r="350" spans="21:25">
      <c r="U350" s="816">
        <v>204</v>
      </c>
      <c r="V350" s="816"/>
      <c r="W350" s="223"/>
    </row>
    <row r="351" spans="21:25">
      <c r="U351" s="816">
        <v>205</v>
      </c>
      <c r="V351" s="816"/>
      <c r="W351" s="223"/>
      <c r="Y351" s="11">
        <v>20</v>
      </c>
    </row>
    <row r="352" spans="21:25">
      <c r="U352" s="816">
        <v>206</v>
      </c>
      <c r="V352" s="816"/>
      <c r="W352" s="223"/>
    </row>
    <row r="353" spans="21:25">
      <c r="U353" s="816">
        <v>207</v>
      </c>
      <c r="V353" s="816"/>
      <c r="W353" s="223"/>
      <c r="X353" s="11">
        <v>20</v>
      </c>
    </row>
    <row r="354" spans="21:25">
      <c r="U354" s="816">
        <v>208</v>
      </c>
      <c r="V354" s="816"/>
      <c r="W354" s="223"/>
      <c r="X354" s="11">
        <v>20</v>
      </c>
    </row>
    <row r="355" spans="21:25">
      <c r="U355" s="816">
        <v>209</v>
      </c>
      <c r="V355" s="816"/>
      <c r="W355" s="223"/>
    </row>
    <row r="356" spans="21:25">
      <c r="U356" s="816">
        <v>210</v>
      </c>
      <c r="V356" s="816"/>
      <c r="W356" s="223"/>
      <c r="Y356" s="11">
        <v>20</v>
      </c>
    </row>
    <row r="357" spans="21:25">
      <c r="U357" s="816">
        <v>211</v>
      </c>
      <c r="V357" s="816"/>
      <c r="W357" s="223"/>
    </row>
    <row r="358" spans="21:25">
      <c r="U358" s="816">
        <v>212</v>
      </c>
      <c r="V358" s="816"/>
      <c r="W358" s="223"/>
      <c r="Y358" s="11">
        <v>20</v>
      </c>
    </row>
    <row r="359" spans="21:25">
      <c r="U359" s="816">
        <v>213</v>
      </c>
      <c r="V359" s="816"/>
      <c r="W359" s="223"/>
    </row>
    <row r="360" spans="21:25">
      <c r="U360" s="816">
        <v>214</v>
      </c>
      <c r="V360" s="816"/>
      <c r="W360" s="223"/>
      <c r="X360" s="11">
        <v>15</v>
      </c>
    </row>
    <row r="361" spans="21:25">
      <c r="U361" s="816">
        <v>215</v>
      </c>
      <c r="V361" s="816"/>
      <c r="W361" s="223"/>
      <c r="X361" s="11">
        <v>20</v>
      </c>
    </row>
    <row r="362" spans="21:25">
      <c r="U362" s="816">
        <v>216</v>
      </c>
      <c r="V362" s="816"/>
      <c r="W362" s="223"/>
      <c r="X362" s="11">
        <v>15</v>
      </c>
    </row>
    <row r="363" spans="21:25">
      <c r="U363" s="816">
        <v>217</v>
      </c>
      <c r="V363" s="816"/>
      <c r="W363" s="223">
        <v>20</v>
      </c>
    </row>
    <row r="364" spans="21:25">
      <c r="U364" s="816">
        <v>218</v>
      </c>
      <c r="V364" s="816"/>
      <c r="W364" s="223"/>
    </row>
    <row r="365" spans="21:25">
      <c r="U365" s="816">
        <v>219</v>
      </c>
      <c r="V365" s="816"/>
      <c r="W365" s="223"/>
    </row>
    <row r="366" spans="21:25">
      <c r="U366" s="816">
        <v>220</v>
      </c>
      <c r="V366" s="816"/>
      <c r="W366" s="223"/>
      <c r="X366" s="11">
        <v>20</v>
      </c>
    </row>
    <row r="367" spans="21:25">
      <c r="U367" s="816">
        <v>221</v>
      </c>
      <c r="V367" s="816"/>
      <c r="W367" s="223"/>
    </row>
    <row r="368" spans="21:25">
      <c r="U368" s="816">
        <v>222</v>
      </c>
      <c r="V368" s="816"/>
      <c r="W368" s="223"/>
    </row>
    <row r="369" spans="21:25">
      <c r="U369" s="816">
        <v>223</v>
      </c>
      <c r="V369" s="816"/>
      <c r="W369" s="223"/>
      <c r="Y369" s="11">
        <v>20</v>
      </c>
    </row>
    <row r="370" spans="21:25">
      <c r="U370" s="816">
        <v>224</v>
      </c>
      <c r="V370" s="816"/>
      <c r="W370" s="223"/>
    </row>
    <row r="371" spans="21:25">
      <c r="U371" s="816">
        <v>225</v>
      </c>
      <c r="V371" s="816"/>
      <c r="W371" s="223"/>
    </row>
    <row r="372" spans="21:25">
      <c r="U372" s="816">
        <v>226</v>
      </c>
      <c r="V372" s="816"/>
      <c r="W372" s="223"/>
    </row>
    <row r="373" spans="21:25">
      <c r="U373" s="816">
        <v>227</v>
      </c>
      <c r="V373" s="816"/>
      <c r="W373" s="223"/>
      <c r="X373" s="11">
        <v>20</v>
      </c>
    </row>
    <row r="374" spans="21:25">
      <c r="U374" s="816">
        <v>228</v>
      </c>
      <c r="V374" s="816"/>
      <c r="W374" s="223"/>
    </row>
    <row r="375" spans="21:25">
      <c r="U375" s="816">
        <v>229</v>
      </c>
      <c r="V375" s="816"/>
      <c r="W375" s="223"/>
      <c r="X375" s="11">
        <v>20</v>
      </c>
    </row>
    <row r="376" spans="21:25">
      <c r="U376" s="816">
        <v>230</v>
      </c>
      <c r="V376" s="816"/>
      <c r="W376" s="223"/>
      <c r="X376" s="11">
        <v>20</v>
      </c>
    </row>
    <row r="377" spans="21:25">
      <c r="U377" s="816">
        <v>231</v>
      </c>
      <c r="V377" s="816"/>
      <c r="W377" s="223"/>
    </row>
    <row r="378" spans="21:25">
      <c r="U378" s="816">
        <v>232</v>
      </c>
      <c r="V378" s="816"/>
      <c r="W378" s="223"/>
      <c r="X378" s="11">
        <v>20</v>
      </c>
    </row>
    <row r="379" spans="21:25">
      <c r="U379" s="816">
        <v>233</v>
      </c>
      <c r="V379" s="816"/>
      <c r="W379" s="223"/>
    </row>
    <row r="380" spans="21:25">
      <c r="U380" s="816">
        <v>234</v>
      </c>
      <c r="V380" s="816"/>
      <c r="W380" s="223"/>
      <c r="X380" s="11">
        <v>20</v>
      </c>
    </row>
    <row r="381" spans="21:25">
      <c r="U381" s="816">
        <v>235</v>
      </c>
      <c r="V381" s="816"/>
      <c r="W381" s="223">
        <v>20</v>
      </c>
    </row>
    <row r="382" spans="21:25">
      <c r="U382" s="816">
        <v>236</v>
      </c>
      <c r="V382" s="816"/>
      <c r="W382" s="223"/>
      <c r="X382" s="11">
        <v>20</v>
      </c>
    </row>
    <row r="383" spans="21:25">
      <c r="U383" s="816">
        <v>237</v>
      </c>
      <c r="V383" s="816"/>
      <c r="W383" s="223"/>
    </row>
    <row r="384" spans="21:25">
      <c r="U384" s="816">
        <v>238</v>
      </c>
      <c r="V384" s="816"/>
      <c r="W384" s="223"/>
      <c r="X384" s="11">
        <v>20</v>
      </c>
    </row>
    <row r="385" spans="21:28">
      <c r="U385" s="816" t="s">
        <v>844</v>
      </c>
      <c r="V385" s="816"/>
      <c r="W385" s="223"/>
      <c r="AB385">
        <v>160</v>
      </c>
    </row>
    <row r="386" spans="21:28">
      <c r="U386" s="816">
        <v>240</v>
      </c>
      <c r="V386" s="816"/>
      <c r="W386" s="223"/>
    </row>
    <row r="387" spans="21:28">
      <c r="U387" s="816">
        <v>241</v>
      </c>
      <c r="V387" s="816"/>
      <c r="W387" s="223"/>
    </row>
    <row r="388" spans="21:28">
      <c r="U388" s="816">
        <v>242</v>
      </c>
      <c r="V388" s="816"/>
      <c r="W388" s="223"/>
    </row>
    <row r="389" spans="21:28">
      <c r="U389" s="816">
        <v>243</v>
      </c>
      <c r="V389" s="816"/>
      <c r="W389" s="223"/>
      <c r="Z389" s="11">
        <v>25</v>
      </c>
      <c r="AA389">
        <v>25</v>
      </c>
    </row>
    <row r="390" spans="21:28">
      <c r="U390" s="816">
        <v>244</v>
      </c>
      <c r="V390" s="816"/>
      <c r="W390" s="223"/>
      <c r="Y390" s="11">
        <v>20</v>
      </c>
    </row>
    <row r="391" spans="21:28">
      <c r="U391" s="816">
        <v>245</v>
      </c>
      <c r="V391" s="816"/>
      <c r="W391" s="223"/>
    </row>
    <row r="392" spans="21:28">
      <c r="U392" s="816">
        <v>246</v>
      </c>
      <c r="V392" s="816"/>
      <c r="W392" s="223"/>
      <c r="Y392" s="11">
        <v>20</v>
      </c>
    </row>
    <row r="393" spans="21:28">
      <c r="U393" s="816">
        <v>247</v>
      </c>
      <c r="V393" s="816"/>
      <c r="W393" s="223"/>
      <c r="Y393" s="11">
        <v>20</v>
      </c>
    </row>
    <row r="394" spans="21:28">
      <c r="U394" s="816">
        <v>248</v>
      </c>
      <c r="V394" s="816"/>
      <c r="W394" s="223"/>
      <c r="X394" s="11">
        <v>20</v>
      </c>
    </row>
    <row r="395" spans="21:28">
      <c r="U395" s="816">
        <v>249</v>
      </c>
      <c r="V395" s="816"/>
      <c r="W395" s="223"/>
      <c r="X395" s="11">
        <v>20</v>
      </c>
    </row>
    <row r="396" spans="21:28">
      <c r="U396" s="816">
        <v>250</v>
      </c>
      <c r="V396" s="816"/>
      <c r="W396" s="223"/>
      <c r="X396" s="11">
        <v>20</v>
      </c>
    </row>
    <row r="397" spans="21:28">
      <c r="U397" s="816">
        <v>251</v>
      </c>
      <c r="V397" s="816"/>
      <c r="W397" s="223"/>
      <c r="Y397" s="11">
        <v>20</v>
      </c>
    </row>
    <row r="398" spans="21:28">
      <c r="U398" s="816">
        <v>252</v>
      </c>
      <c r="V398" s="816"/>
      <c r="W398" s="223"/>
      <c r="X398" s="11">
        <v>20</v>
      </c>
    </row>
    <row r="399" spans="21:28">
      <c r="U399" s="816">
        <v>253</v>
      </c>
      <c r="V399" s="816"/>
      <c r="W399" s="223"/>
      <c r="X399" s="11">
        <v>20</v>
      </c>
    </row>
    <row r="400" spans="21:28">
      <c r="U400" s="816">
        <v>254</v>
      </c>
      <c r="V400" s="816"/>
      <c r="W400" s="223"/>
      <c r="X400" s="11">
        <v>20</v>
      </c>
    </row>
    <row r="401" spans="21:27">
      <c r="U401" s="816">
        <v>255</v>
      </c>
      <c r="V401" s="816"/>
      <c r="W401" s="223"/>
      <c r="X401" s="11">
        <v>20</v>
      </c>
    </row>
    <row r="402" spans="21:27">
      <c r="U402" s="816">
        <v>256</v>
      </c>
      <c r="V402" s="816"/>
      <c r="W402" s="223"/>
    </row>
    <row r="403" spans="21:27">
      <c r="U403" s="816">
        <v>257</v>
      </c>
      <c r="V403" s="816"/>
      <c r="W403" s="223"/>
    </row>
    <row r="404" spans="21:27">
      <c r="U404" s="816">
        <v>258</v>
      </c>
      <c r="V404" s="816"/>
      <c r="W404" s="223"/>
      <c r="X404" s="11">
        <v>20</v>
      </c>
    </row>
    <row r="405" spans="21:27">
      <c r="U405" s="816">
        <v>259</v>
      </c>
      <c r="V405" s="816"/>
      <c r="W405" s="223"/>
    </row>
    <row r="406" spans="21:27">
      <c r="U406" s="816">
        <v>260</v>
      </c>
      <c r="V406" s="816"/>
      <c r="W406" s="223">
        <v>20</v>
      </c>
    </row>
    <row r="407" spans="21:27">
      <c r="U407" s="816">
        <v>261</v>
      </c>
      <c r="V407" s="816"/>
      <c r="W407" s="223">
        <v>30</v>
      </c>
    </row>
    <row r="408" spans="21:27">
      <c r="U408" s="816">
        <v>262</v>
      </c>
      <c r="V408" s="816"/>
      <c r="W408" s="223"/>
      <c r="X408" s="11">
        <v>20</v>
      </c>
    </row>
    <row r="409" spans="21:27">
      <c r="U409" s="816">
        <v>263</v>
      </c>
      <c r="V409" s="816"/>
      <c r="W409" s="223"/>
      <c r="X409" s="11">
        <v>20</v>
      </c>
    </row>
    <row r="410" spans="21:27">
      <c r="U410" s="816">
        <v>264</v>
      </c>
      <c r="V410" s="816"/>
      <c r="W410" s="223"/>
      <c r="Y410" s="11">
        <v>20</v>
      </c>
    </row>
    <row r="411" spans="21:27">
      <c r="U411" s="816" t="s">
        <v>845</v>
      </c>
      <c r="V411" s="816"/>
      <c r="W411" s="223"/>
      <c r="Z411" s="11">
        <v>30</v>
      </c>
      <c r="AA411">
        <v>10</v>
      </c>
    </row>
    <row r="412" spans="21:27">
      <c r="U412" s="816">
        <v>266</v>
      </c>
      <c r="V412" s="816"/>
      <c r="W412" s="223"/>
    </row>
    <row r="413" spans="21:27">
      <c r="U413" s="816">
        <v>267</v>
      </c>
      <c r="V413" s="816"/>
      <c r="W413" s="223"/>
      <c r="Y413" s="11">
        <v>20</v>
      </c>
    </row>
    <row r="414" spans="21:27">
      <c r="U414" s="816">
        <v>268</v>
      </c>
      <c r="V414" s="816"/>
      <c r="W414" s="223">
        <v>10</v>
      </c>
      <c r="Z414" s="11">
        <v>10</v>
      </c>
    </row>
    <row r="415" spans="21:27">
      <c r="U415" s="816">
        <v>269</v>
      </c>
      <c r="V415" s="816"/>
      <c r="W415" s="223"/>
      <c r="X415" s="11">
        <v>10</v>
      </c>
      <c r="Y415" s="11">
        <v>10</v>
      </c>
    </row>
    <row r="416" spans="21:27">
      <c r="U416" s="816">
        <v>270</v>
      </c>
      <c r="V416" s="816"/>
      <c r="W416" s="223"/>
      <c r="X416" s="11">
        <v>10</v>
      </c>
      <c r="Y416" s="11">
        <f>10+20</f>
        <v>30</v>
      </c>
    </row>
    <row r="417" spans="21:26">
      <c r="U417" s="816">
        <v>271</v>
      </c>
      <c r="V417" s="816"/>
      <c r="W417" s="223"/>
      <c r="Y417" s="11">
        <v>15</v>
      </c>
    </row>
    <row r="418" spans="21:26">
      <c r="U418" s="816">
        <v>272</v>
      </c>
      <c r="V418" s="816"/>
      <c r="W418" s="223"/>
      <c r="X418" s="11">
        <v>20</v>
      </c>
    </row>
    <row r="419" spans="21:26">
      <c r="U419" s="816">
        <v>273</v>
      </c>
      <c r="V419" s="816"/>
      <c r="W419" s="223"/>
    </row>
    <row r="420" spans="21:26">
      <c r="U420" s="816">
        <v>274</v>
      </c>
      <c r="V420" s="816"/>
      <c r="W420" s="223"/>
      <c r="X420" s="11">
        <v>20</v>
      </c>
    </row>
    <row r="421" spans="21:26">
      <c r="U421" s="816">
        <v>275</v>
      </c>
      <c r="V421" s="816"/>
      <c r="W421" s="223"/>
    </row>
    <row r="422" spans="21:26">
      <c r="U422" s="816">
        <v>276</v>
      </c>
      <c r="V422" s="816"/>
      <c r="W422" s="223"/>
    </row>
    <row r="423" spans="21:26">
      <c r="U423" s="816">
        <v>277</v>
      </c>
      <c r="V423" s="816"/>
      <c r="W423" s="223"/>
      <c r="Y423" s="11">
        <v>20</v>
      </c>
    </row>
    <row r="424" spans="21:26">
      <c r="U424" s="816">
        <v>278</v>
      </c>
      <c r="V424" s="816"/>
      <c r="W424" s="223"/>
      <c r="Y424" s="11">
        <v>10</v>
      </c>
    </row>
    <row r="425" spans="21:26">
      <c r="U425" s="816">
        <v>279</v>
      </c>
      <c r="V425" s="816"/>
      <c r="W425" s="223"/>
      <c r="X425" s="11">
        <v>20</v>
      </c>
      <c r="Y425" s="11">
        <v>10</v>
      </c>
    </row>
    <row r="426" spans="21:26">
      <c r="U426" s="816">
        <v>280</v>
      </c>
      <c r="V426" s="816"/>
      <c r="W426" s="223"/>
      <c r="X426" s="11">
        <v>20</v>
      </c>
      <c r="Z426" s="11">
        <v>10</v>
      </c>
    </row>
    <row r="427" spans="21:26">
      <c r="U427" s="816">
        <v>281</v>
      </c>
      <c r="V427" s="816"/>
      <c r="W427" s="223"/>
      <c r="Y427" s="11">
        <v>10</v>
      </c>
    </row>
    <row r="428" spans="21:26">
      <c r="U428" s="816">
        <v>282</v>
      </c>
      <c r="V428" s="816"/>
      <c r="W428" s="223"/>
      <c r="X428" s="11">
        <v>20</v>
      </c>
      <c r="Y428" s="11">
        <v>10</v>
      </c>
    </row>
    <row r="429" spans="21:26">
      <c r="U429" s="816">
        <v>283</v>
      </c>
      <c r="V429" s="816"/>
      <c r="W429" s="223"/>
      <c r="X429" s="11">
        <v>15</v>
      </c>
    </row>
    <row r="430" spans="21:26">
      <c r="U430" s="816">
        <v>284</v>
      </c>
      <c r="V430" s="816"/>
      <c r="W430" s="223"/>
      <c r="Z430" s="11">
        <v>10</v>
      </c>
    </row>
    <row r="431" spans="21:26">
      <c r="U431" s="816">
        <v>285</v>
      </c>
      <c r="V431" s="816"/>
      <c r="W431" s="223"/>
      <c r="X431" s="11">
        <v>20</v>
      </c>
    </row>
    <row r="432" spans="21:26">
      <c r="U432" s="816">
        <v>286</v>
      </c>
      <c r="V432" s="816"/>
      <c r="W432" s="223">
        <v>10</v>
      </c>
      <c r="Z432" s="11">
        <v>10</v>
      </c>
    </row>
    <row r="433" spans="21:26">
      <c r="U433" s="816">
        <v>287</v>
      </c>
      <c r="V433" s="816"/>
      <c r="W433" s="223"/>
      <c r="Y433" s="11">
        <v>20</v>
      </c>
    </row>
    <row r="434" spans="21:26">
      <c r="U434" s="816">
        <v>288</v>
      </c>
      <c r="V434" s="816"/>
      <c r="W434" s="223"/>
    </row>
    <row r="435" spans="21:26">
      <c r="U435" s="816">
        <v>289</v>
      </c>
      <c r="V435" s="816"/>
      <c r="W435" s="223"/>
    </row>
    <row r="436" spans="21:26">
      <c r="U436" s="816">
        <v>290</v>
      </c>
      <c r="V436" s="816"/>
      <c r="W436" s="223"/>
    </row>
    <row r="437" spans="21:26">
      <c r="U437" s="816">
        <v>291</v>
      </c>
      <c r="V437" s="816"/>
      <c r="W437" s="223"/>
      <c r="Y437" s="11">
        <v>20</v>
      </c>
    </row>
    <row r="438" spans="21:26">
      <c r="U438" s="816">
        <v>292</v>
      </c>
      <c r="V438" s="816"/>
      <c r="W438" s="223"/>
    </row>
    <row r="439" spans="21:26">
      <c r="U439" s="816">
        <v>293</v>
      </c>
      <c r="V439" s="816"/>
      <c r="W439" s="223"/>
    </row>
    <row r="440" spans="21:26">
      <c r="U440" s="816">
        <v>294</v>
      </c>
      <c r="V440" s="816"/>
      <c r="W440" s="223"/>
      <c r="Y440" s="11">
        <v>20</v>
      </c>
    </row>
    <row r="441" spans="21:26">
      <c r="U441" s="816">
        <v>295</v>
      </c>
      <c r="V441" s="816"/>
      <c r="W441" s="223"/>
    </row>
    <row r="442" spans="21:26">
      <c r="U442" s="816">
        <v>296</v>
      </c>
      <c r="V442" s="816"/>
      <c r="W442" s="223"/>
      <c r="Y442" s="11">
        <v>10</v>
      </c>
      <c r="Z442" s="11">
        <v>10</v>
      </c>
    </row>
    <row r="443" spans="21:26">
      <c r="U443" s="816">
        <v>297</v>
      </c>
      <c r="V443" s="816"/>
      <c r="W443" s="223"/>
    </row>
    <row r="444" spans="21:26">
      <c r="U444" s="816">
        <v>298</v>
      </c>
      <c r="V444" s="816"/>
      <c r="W444" s="223"/>
    </row>
    <row r="445" spans="21:26">
      <c r="U445" s="816">
        <v>299</v>
      </c>
      <c r="V445" s="816"/>
      <c r="W445" s="223">
        <v>20</v>
      </c>
    </row>
    <row r="446" spans="21:26">
      <c r="U446" s="816">
        <v>300</v>
      </c>
      <c r="V446" s="816"/>
      <c r="W446" s="223"/>
    </row>
    <row r="447" spans="21:26">
      <c r="U447" s="816">
        <v>301</v>
      </c>
      <c r="V447" s="816"/>
      <c r="W447" s="223">
        <v>20</v>
      </c>
    </row>
    <row r="448" spans="21:26">
      <c r="U448" s="816">
        <v>302</v>
      </c>
      <c r="V448" s="816"/>
      <c r="W448" s="223"/>
    </row>
    <row r="449" spans="21:27">
      <c r="U449" s="816">
        <v>303</v>
      </c>
      <c r="V449" s="816"/>
      <c r="W449" s="223">
        <v>20</v>
      </c>
    </row>
    <row r="450" spans="21:27">
      <c r="U450" s="816">
        <v>304</v>
      </c>
      <c r="V450" s="816"/>
      <c r="W450" s="223"/>
    </row>
    <row r="451" spans="21:27">
      <c r="U451" s="816">
        <v>305</v>
      </c>
      <c r="V451" s="816"/>
      <c r="W451" s="223"/>
    </row>
    <row r="452" spans="21:27">
      <c r="U452" s="816">
        <v>306</v>
      </c>
      <c r="V452" s="816"/>
      <c r="W452" s="223"/>
      <c r="Z452" s="11">
        <v>25</v>
      </c>
    </row>
    <row r="453" spans="21:27">
      <c r="U453" s="816">
        <v>307</v>
      </c>
      <c r="V453" s="816"/>
      <c r="W453" s="223"/>
    </row>
    <row r="454" spans="21:27">
      <c r="U454" s="816">
        <v>308</v>
      </c>
      <c r="V454" s="816"/>
      <c r="W454" s="223"/>
      <c r="X454" s="11">
        <v>20</v>
      </c>
    </row>
    <row r="455" spans="21:27">
      <c r="U455" s="816">
        <v>309</v>
      </c>
      <c r="V455" s="816"/>
      <c r="W455" s="223"/>
      <c r="Y455" s="11">
        <v>20</v>
      </c>
    </row>
    <row r="456" spans="21:27">
      <c r="U456" s="816">
        <v>310</v>
      </c>
      <c r="V456" s="816"/>
      <c r="W456" s="223"/>
      <c r="Y456" s="11">
        <v>20</v>
      </c>
    </row>
    <row r="457" spans="21:27">
      <c r="U457" s="816">
        <v>311</v>
      </c>
      <c r="V457" s="816"/>
      <c r="W457" s="223">
        <v>20</v>
      </c>
    </row>
    <row r="458" spans="21:27">
      <c r="U458" s="816">
        <v>312</v>
      </c>
      <c r="V458" s="816"/>
      <c r="W458" s="223"/>
      <c r="Y458" s="11">
        <v>15</v>
      </c>
    </row>
    <row r="459" spans="21:27">
      <c r="U459" s="816" t="s">
        <v>846</v>
      </c>
      <c r="V459" s="816"/>
      <c r="W459" s="223"/>
      <c r="Z459" s="11">
        <v>65</v>
      </c>
    </row>
    <row r="460" spans="21:27">
      <c r="U460" s="816">
        <v>314</v>
      </c>
      <c r="V460" s="816"/>
      <c r="W460" s="223"/>
      <c r="X460" s="11">
        <v>20</v>
      </c>
    </row>
    <row r="461" spans="21:27">
      <c r="U461" s="816">
        <v>315</v>
      </c>
      <c r="V461" s="816"/>
      <c r="W461" s="223"/>
    </row>
    <row r="462" spans="21:27">
      <c r="U462" s="816">
        <v>316</v>
      </c>
      <c r="V462" s="816"/>
      <c r="W462" s="223"/>
    </row>
    <row r="463" spans="21:27">
      <c r="U463" s="816">
        <v>317</v>
      </c>
      <c r="V463" s="816"/>
      <c r="W463" s="223"/>
    </row>
    <row r="464" spans="21:27">
      <c r="U464" s="816" t="s">
        <v>847</v>
      </c>
      <c r="V464" s="816"/>
      <c r="W464" s="223"/>
      <c r="AA464">
        <v>30</v>
      </c>
    </row>
    <row r="465" spans="21:26">
      <c r="U465" s="816" t="s">
        <v>848</v>
      </c>
      <c r="V465" s="816"/>
      <c r="W465" s="223"/>
      <c r="Z465" s="11">
        <v>70</v>
      </c>
    </row>
    <row r="466" spans="21:26">
      <c r="U466" s="816">
        <v>320</v>
      </c>
      <c r="V466" s="816"/>
      <c r="W466" s="223"/>
    </row>
    <row r="467" spans="21:26">
      <c r="U467" s="816">
        <v>321</v>
      </c>
      <c r="V467" s="816"/>
      <c r="W467" s="223"/>
    </row>
    <row r="468" spans="21:26">
      <c r="U468" s="816">
        <v>322</v>
      </c>
      <c r="V468" s="816"/>
      <c r="W468" s="223"/>
    </row>
    <row r="469" spans="21:26">
      <c r="U469" s="816">
        <v>323</v>
      </c>
      <c r="V469" s="816"/>
      <c r="W469" s="223"/>
    </row>
    <row r="470" spans="21:26">
      <c r="U470" s="816">
        <v>324</v>
      </c>
      <c r="V470" s="816"/>
      <c r="W470" s="223">
        <v>20</v>
      </c>
    </row>
    <row r="471" spans="21:26">
      <c r="U471" s="816">
        <v>325</v>
      </c>
      <c r="V471" s="816"/>
      <c r="W471" s="223"/>
    </row>
    <row r="472" spans="21:26">
      <c r="U472" s="816">
        <v>326</v>
      </c>
      <c r="V472" s="816"/>
      <c r="W472" s="223"/>
    </row>
    <row r="473" spans="21:26">
      <c r="U473" s="816">
        <v>327</v>
      </c>
      <c r="V473" s="816"/>
      <c r="W473" s="223"/>
    </row>
    <row r="474" spans="21:26">
      <c r="U474" s="816">
        <v>328</v>
      </c>
      <c r="V474" s="816"/>
      <c r="W474" s="223">
        <v>20</v>
      </c>
      <c r="X474" s="11">
        <v>10</v>
      </c>
    </row>
    <row r="475" spans="21:26">
      <c r="U475" s="816">
        <v>329</v>
      </c>
      <c r="V475" s="816"/>
      <c r="W475" s="223"/>
      <c r="X475" s="11">
        <v>20</v>
      </c>
    </row>
    <row r="476" spans="21:26">
      <c r="U476" s="816">
        <v>330</v>
      </c>
      <c r="V476" s="816"/>
      <c r="W476" s="223"/>
    </row>
    <row r="477" spans="21:26">
      <c r="U477" s="816">
        <v>331</v>
      </c>
      <c r="V477" s="816"/>
      <c r="W477" s="223"/>
      <c r="X477" s="11">
        <v>20</v>
      </c>
    </row>
    <row r="478" spans="21:26">
      <c r="U478" s="816">
        <v>332</v>
      </c>
      <c r="V478" s="816"/>
      <c r="W478" s="223"/>
      <c r="Y478" s="11">
        <v>20</v>
      </c>
    </row>
    <row r="479" spans="21:26">
      <c r="U479" s="816">
        <v>333</v>
      </c>
      <c r="V479" s="816"/>
      <c r="W479" s="223"/>
      <c r="X479" s="11">
        <v>20</v>
      </c>
    </row>
    <row r="480" spans="21:26">
      <c r="U480" s="816">
        <v>334</v>
      </c>
      <c r="V480" s="816"/>
      <c r="W480" s="223"/>
      <c r="Y480" s="11">
        <v>15</v>
      </c>
    </row>
    <row r="481" spans="21:26">
      <c r="U481" s="816">
        <v>335</v>
      </c>
      <c r="V481" s="816"/>
      <c r="W481" s="223"/>
    </row>
    <row r="482" spans="21:26">
      <c r="U482" s="816">
        <v>336</v>
      </c>
      <c r="V482" s="816"/>
      <c r="W482" s="223"/>
      <c r="Z482" s="11">
        <v>20</v>
      </c>
    </row>
    <row r="483" spans="21:26">
      <c r="U483" s="816">
        <v>337</v>
      </c>
      <c r="V483" s="816"/>
      <c r="W483" s="223"/>
      <c r="X483" s="11">
        <v>20</v>
      </c>
    </row>
    <row r="484" spans="21:26">
      <c r="U484" s="816">
        <v>338</v>
      </c>
      <c r="V484" s="816"/>
      <c r="W484" s="223"/>
    </row>
    <row r="485" spans="21:26">
      <c r="U485" s="816">
        <v>339</v>
      </c>
      <c r="V485" s="816"/>
      <c r="W485" s="223"/>
    </row>
    <row r="486" spans="21:26">
      <c r="U486" s="816">
        <v>340</v>
      </c>
      <c r="V486" s="816"/>
      <c r="W486" s="223"/>
      <c r="Z486" s="11">
        <v>10</v>
      </c>
    </row>
    <row r="487" spans="21:26">
      <c r="U487" s="816">
        <v>341</v>
      </c>
      <c r="V487" s="816"/>
      <c r="W487" s="223"/>
      <c r="Y487" s="11">
        <v>20</v>
      </c>
      <c r="Z487" s="11">
        <v>10</v>
      </c>
    </row>
    <row r="488" spans="21:26">
      <c r="U488" s="816">
        <v>342</v>
      </c>
      <c r="V488" s="816"/>
      <c r="W488" s="223">
        <v>20</v>
      </c>
    </row>
    <row r="489" spans="21:26">
      <c r="U489" s="816">
        <v>343</v>
      </c>
      <c r="V489" s="816"/>
      <c r="W489" s="223"/>
      <c r="X489" s="11">
        <v>20</v>
      </c>
    </row>
    <row r="490" spans="21:26">
      <c r="U490" s="816">
        <v>344</v>
      </c>
      <c r="V490" s="816"/>
      <c r="W490" s="223"/>
      <c r="X490" s="11">
        <v>20</v>
      </c>
    </row>
    <row r="491" spans="21:26">
      <c r="U491" s="816">
        <v>345</v>
      </c>
      <c r="V491" s="816"/>
      <c r="W491" s="223"/>
    </row>
    <row r="492" spans="21:26">
      <c r="U492" s="816">
        <v>346</v>
      </c>
      <c r="V492" s="816"/>
      <c r="W492" s="223"/>
      <c r="X492" s="11">
        <v>25</v>
      </c>
    </row>
    <row r="493" spans="21:26">
      <c r="U493" s="816">
        <v>347</v>
      </c>
      <c r="V493" s="816"/>
      <c r="W493" s="223"/>
      <c r="X493" s="11">
        <v>20</v>
      </c>
    </row>
    <row r="494" spans="21:26">
      <c r="U494" s="816">
        <v>348</v>
      </c>
      <c r="V494" s="816"/>
      <c r="W494" s="223"/>
      <c r="X494" s="11">
        <v>20</v>
      </c>
    </row>
    <row r="495" spans="21:26">
      <c r="U495" s="816">
        <v>349</v>
      </c>
      <c r="V495" s="816"/>
      <c r="W495" s="223"/>
      <c r="X495" s="11">
        <v>20</v>
      </c>
    </row>
    <row r="496" spans="21:26">
      <c r="U496" s="816">
        <v>350</v>
      </c>
      <c r="V496" s="816"/>
      <c r="W496" s="223"/>
      <c r="Y496" s="11">
        <v>20</v>
      </c>
    </row>
    <row r="497" spans="21:29">
      <c r="U497" s="816">
        <v>351</v>
      </c>
      <c r="V497" s="816"/>
      <c r="W497" s="223"/>
      <c r="Z497" s="11">
        <v>20</v>
      </c>
    </row>
    <row r="498" spans="21:29">
      <c r="U498" s="816">
        <v>352</v>
      </c>
      <c r="V498" s="816"/>
      <c r="W498" s="223"/>
      <c r="X498" s="11">
        <v>20</v>
      </c>
    </row>
    <row r="499" spans="21:29">
      <c r="U499" s="816">
        <v>353</v>
      </c>
      <c r="V499" s="816"/>
      <c r="W499" s="223"/>
      <c r="X499" s="11">
        <v>20</v>
      </c>
    </row>
    <row r="500" spans="21:29">
      <c r="U500" s="816">
        <v>354</v>
      </c>
      <c r="V500" s="816"/>
      <c r="W500" s="223"/>
    </row>
    <row r="501" spans="21:29">
      <c r="U501" s="816">
        <v>355</v>
      </c>
      <c r="V501" s="816"/>
      <c r="W501" s="223"/>
    </row>
    <row r="502" spans="21:29">
      <c r="U502" s="816">
        <v>356</v>
      </c>
      <c r="V502" s="816"/>
      <c r="W502" s="223">
        <v>20</v>
      </c>
    </row>
    <row r="503" spans="21:29">
      <c r="U503" s="816" t="s">
        <v>849</v>
      </c>
      <c r="V503" s="816"/>
      <c r="W503" s="223"/>
      <c r="Z503" s="11">
        <v>60</v>
      </c>
    </row>
    <row r="504" spans="21:29">
      <c r="U504" s="816"/>
      <c r="V504" s="816"/>
      <c r="W504" s="223"/>
    </row>
    <row r="505" spans="21:29">
      <c r="U505" s="816"/>
      <c r="V505" s="816"/>
      <c r="W505" s="223"/>
    </row>
    <row r="506" spans="21:29">
      <c r="U506" s="817"/>
      <c r="V506" s="817"/>
      <c r="W506" s="223"/>
    </row>
    <row r="507" spans="21:29">
      <c r="U507" s="818"/>
      <c r="V507" s="818"/>
      <c r="W507" s="224"/>
      <c r="X507" s="23"/>
      <c r="Y507" s="23"/>
      <c r="Z507" s="23"/>
    </row>
    <row r="508" spans="21:29">
      <c r="U508" s="819" t="s">
        <v>188</v>
      </c>
      <c r="V508" s="226">
        <f t="shared" ref="V508:AC508" si="8">SUM(V5:V507)</f>
        <v>81</v>
      </c>
      <c r="W508" s="226">
        <f t="shared" si="8"/>
        <v>1420</v>
      </c>
      <c r="X508" s="226">
        <f t="shared" si="8"/>
        <v>2033</v>
      </c>
      <c r="Y508" s="226">
        <f t="shared" si="8"/>
        <v>1517</v>
      </c>
      <c r="Z508" s="226">
        <f t="shared" si="8"/>
        <v>1498</v>
      </c>
      <c r="AA508" s="226">
        <f t="shared" si="8"/>
        <v>280</v>
      </c>
      <c r="AB508" s="226">
        <f t="shared" si="8"/>
        <v>355</v>
      </c>
      <c r="AC508" s="226">
        <f t="shared" si="8"/>
        <v>40</v>
      </c>
    </row>
    <row r="509" spans="21:29">
      <c r="AA509" s="11"/>
      <c r="AB509" s="11"/>
      <c r="AC509" s="11"/>
    </row>
    <row r="510" spans="21:29">
      <c r="V510" s="22" t="str">
        <f>V3</f>
        <v>Tanking</v>
      </c>
      <c r="W510" s="22" t="str">
        <f t="shared" ref="W510:AC510" si="9">W3</f>
        <v>&lt;  300mm</v>
      </c>
      <c r="X510" s="22" t="str">
        <f t="shared" si="9"/>
        <v>&lt; 550mm</v>
      </c>
      <c r="Y510" s="22" t="str">
        <f t="shared" si="9"/>
        <v>&lt; 1000mm</v>
      </c>
      <c r="Z510" s="22" t="str">
        <f t="shared" si="9"/>
        <v>&lt; 2000mm</v>
      </c>
      <c r="AA510" s="22" t="str">
        <f t="shared" si="9"/>
        <v>&lt; 3000mm</v>
      </c>
      <c r="AB510" s="22" t="str">
        <f t="shared" si="9"/>
        <v>&lt; 4000mm</v>
      </c>
      <c r="AC510" s="22" t="str">
        <f t="shared" si="9"/>
        <v>&lt; 5000mm</v>
      </c>
    </row>
    <row r="517" spans="21:27">
      <c r="U517" s="560"/>
      <c r="V517" s="560"/>
      <c r="W517" s="1"/>
      <c r="X517" s="81"/>
      <c r="Y517" s="81"/>
      <c r="Z517" s="81"/>
      <c r="AA517" s="1"/>
    </row>
    <row r="518" spans="21:27">
      <c r="U518" s="560"/>
      <c r="V518" s="560"/>
      <c r="W518" s="1"/>
      <c r="X518" s="81"/>
      <c r="Y518" s="81"/>
      <c r="Z518" s="81"/>
      <c r="AA518" s="1"/>
    </row>
    <row r="519" spans="21:27">
      <c r="U519" s="560"/>
      <c r="V519" s="560"/>
      <c r="W519" s="1"/>
      <c r="X519" s="81"/>
      <c r="Y519" s="81"/>
      <c r="Z519" s="81"/>
      <c r="AA519" s="1"/>
    </row>
    <row r="520" spans="21:27">
      <c r="U520" s="816"/>
      <c r="V520" s="816"/>
      <c r="W520" s="21"/>
      <c r="X520" s="21"/>
      <c r="Y520" s="21"/>
      <c r="Z520" s="21"/>
      <c r="AA520" s="223"/>
    </row>
    <row r="521" spans="21:27">
      <c r="U521" s="816"/>
      <c r="V521" s="816"/>
      <c r="W521" s="21"/>
      <c r="X521" s="21"/>
      <c r="Y521" s="21"/>
      <c r="Z521" s="21"/>
      <c r="AA521" s="223"/>
    </row>
    <row r="522" spans="21:27">
      <c r="U522" s="816"/>
      <c r="V522" s="816"/>
      <c r="W522" s="21"/>
      <c r="X522" s="21"/>
      <c r="Y522" s="21"/>
      <c r="Z522" s="21"/>
      <c r="AA522" s="223"/>
    </row>
    <row r="523" spans="21:27">
      <c r="U523" s="816"/>
      <c r="V523" s="816"/>
      <c r="W523" s="21"/>
      <c r="X523" s="21"/>
      <c r="Y523" s="21"/>
      <c r="Z523" s="21"/>
      <c r="AA523" s="223"/>
    </row>
    <row r="524" spans="21:27">
      <c r="U524" s="816"/>
      <c r="V524" s="816"/>
      <c r="W524" s="21"/>
      <c r="X524" s="21"/>
      <c r="Y524" s="21"/>
      <c r="Z524" s="21"/>
      <c r="AA524" s="223"/>
    </row>
    <row r="525" spans="21:27">
      <c r="U525" s="816"/>
      <c r="V525" s="816"/>
      <c r="W525" s="21"/>
      <c r="X525" s="21"/>
      <c r="Y525" s="21"/>
      <c r="Z525" s="21"/>
      <c r="AA525" s="223"/>
    </row>
    <row r="526" spans="21:27">
      <c r="U526" s="816"/>
      <c r="V526" s="816"/>
      <c r="W526" s="21"/>
      <c r="X526" s="21"/>
      <c r="Y526" s="21"/>
      <c r="Z526" s="21"/>
      <c r="AA526" s="223"/>
    </row>
    <row r="527" spans="21:27">
      <c r="U527" s="816"/>
      <c r="V527" s="816"/>
      <c r="W527" s="21"/>
      <c r="X527" s="21"/>
      <c r="Y527" s="21"/>
      <c r="Z527" s="21"/>
      <c r="AA527" s="223"/>
    </row>
    <row r="528" spans="21:27">
      <c r="U528" s="816"/>
      <c r="V528" s="816"/>
      <c r="W528" s="21"/>
      <c r="X528" s="21"/>
      <c r="Y528" s="21"/>
      <c r="Z528" s="21"/>
      <c r="AA528" s="223"/>
    </row>
    <row r="529" spans="21:27">
      <c r="U529" s="816"/>
      <c r="V529" s="816"/>
      <c r="W529" s="21"/>
      <c r="X529" s="21"/>
      <c r="Y529" s="21"/>
      <c r="Z529" s="21"/>
      <c r="AA529" s="223"/>
    </row>
    <row r="530" spans="21:27">
      <c r="U530" s="816"/>
      <c r="V530" s="816"/>
      <c r="W530" s="21"/>
      <c r="X530" s="21"/>
      <c r="Y530" s="21"/>
      <c r="Z530" s="21"/>
      <c r="AA530" s="223"/>
    </row>
    <row r="531" spans="21:27">
      <c r="U531" s="816"/>
      <c r="V531" s="816"/>
      <c r="W531" s="21"/>
      <c r="X531" s="21"/>
      <c r="Y531" s="21"/>
      <c r="Z531" s="21"/>
      <c r="AA531" s="223"/>
    </row>
    <row r="532" spans="21:27">
      <c r="U532" s="816"/>
      <c r="V532" s="816"/>
      <c r="W532" s="21"/>
      <c r="X532" s="21"/>
      <c r="Y532" s="21"/>
      <c r="Z532" s="21"/>
      <c r="AA532" s="223"/>
    </row>
    <row r="533" spans="21:27">
      <c r="U533" s="816"/>
      <c r="V533" s="816"/>
      <c r="W533" s="21"/>
      <c r="X533" s="21"/>
      <c r="Y533" s="21"/>
      <c r="Z533" s="21"/>
      <c r="AA533" s="223"/>
    </row>
    <row r="534" spans="21:27">
      <c r="U534" s="816"/>
      <c r="V534" s="816"/>
      <c r="W534" s="21"/>
      <c r="X534" s="21"/>
      <c r="Y534" s="21"/>
      <c r="Z534" s="21"/>
      <c r="AA534" s="223"/>
    </row>
    <row r="535" spans="21:27">
      <c r="U535" s="816"/>
      <c r="V535" s="816"/>
      <c r="W535" s="21"/>
      <c r="X535" s="21"/>
      <c r="Y535" s="21"/>
      <c r="Z535" s="21"/>
      <c r="AA535" s="223"/>
    </row>
    <row r="536" spans="21:27">
      <c r="U536" s="816"/>
      <c r="V536" s="816"/>
      <c r="W536" s="21"/>
      <c r="X536" s="21"/>
      <c r="Y536" s="21"/>
      <c r="Z536" s="21"/>
      <c r="AA536" s="223"/>
    </row>
    <row r="537" spans="21:27">
      <c r="U537" s="816"/>
      <c r="V537" s="816"/>
      <c r="W537" s="21"/>
      <c r="X537" s="21"/>
      <c r="Y537" s="21"/>
      <c r="Z537" s="21"/>
      <c r="AA537" s="223"/>
    </row>
    <row r="539" spans="21:27" ht="16" thickBot="1">
      <c r="X539" s="229">
        <f>SUM(X520:X538)</f>
        <v>0</v>
      </c>
      <c r="Y539" s="229">
        <f>SUM(Y520:Y538)</f>
        <v>0</v>
      </c>
      <c r="Z539" s="229">
        <f>SUM(Z520:Z538)</f>
        <v>0</v>
      </c>
      <c r="AA539" s="229">
        <f>SUM(AA520:AA538)</f>
        <v>0</v>
      </c>
    </row>
    <row r="540" spans="21:27" ht="16" thickTop="1"/>
  </sheetData>
  <mergeCells count="14">
    <mergeCell ref="H2:I2"/>
    <mergeCell ref="J5:J8"/>
    <mergeCell ref="L5:S5"/>
    <mergeCell ref="Q6:Q7"/>
    <mergeCell ref="R6:R7"/>
    <mergeCell ref="S6:S7"/>
    <mergeCell ref="L6:M6"/>
    <mergeCell ref="N6:O6"/>
    <mergeCell ref="P6:P7"/>
    <mergeCell ref="A5:A8"/>
    <mergeCell ref="B5:F8"/>
    <mergeCell ref="G5:G8"/>
    <mergeCell ref="H5:H8"/>
    <mergeCell ref="I5:I8"/>
  </mergeCells>
  <printOptions horizontalCentered="1"/>
  <pageMargins left="0.261811024" right="0.511811023622047" top="0.55118110236220497" bottom="0.55118110236220497" header="0.31496062992126" footer="0.31496062992126"/>
  <pageSetup paperSize="9" scale="31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6" tint="0.39997558519241921"/>
    <pageSetUpPr fitToPage="1"/>
  </sheetPr>
  <dimension ref="A1:AH60"/>
  <sheetViews>
    <sheetView workbookViewId="0">
      <selection activeCell="L1" sqref="L1:S1048576"/>
    </sheetView>
  </sheetViews>
  <sheetFormatPr baseColWidth="10" defaultColWidth="8.83203125" defaultRowHeight="15"/>
  <cols>
    <col min="1" max="1" width="4" customWidth="1"/>
    <col min="6" max="6" width="12.1640625" customWidth="1"/>
    <col min="7" max="7" width="9.33203125" bestFit="1" customWidth="1"/>
    <col min="8" max="8" width="6.5" customWidth="1"/>
    <col min="9" max="9" width="10.33203125" customWidth="1"/>
    <col min="10" max="10" width="13.83203125" customWidth="1"/>
    <col min="11" max="11" width="1.83203125" customWidth="1"/>
    <col min="12" max="13" width="11.6640625" hidden="1" customWidth="1"/>
    <col min="14" max="14" width="12.6640625" hidden="1" customWidth="1"/>
    <col min="15" max="19" width="11.6640625" hidden="1" customWidth="1"/>
    <col min="21" max="25" width="11.5" customWidth="1"/>
    <col min="26" max="26" width="3.33203125" customWidth="1"/>
    <col min="27" max="34" width="12.6640625" hidden="1" customWidth="1"/>
  </cols>
  <sheetData>
    <row r="1" spans="1:34" s="1" customFormat="1"/>
    <row r="2" spans="1:34" s="1" customFormat="1" ht="15" customHeight="1">
      <c r="B2" s="1" t="str">
        <f>'Breakdown Summary'!B2</f>
        <v>Trows Farm, Castleton</v>
      </c>
      <c r="G2" s="1" t="str">
        <f>'Breakdown Summary'!G2</f>
        <v>Date</v>
      </c>
      <c r="H2" s="1045">
        <f>'Breakdown Summary'!H2</f>
        <v>45453</v>
      </c>
      <c r="I2" s="1045"/>
      <c r="J2" s="1" t="str">
        <f>'Breakdown Summary'!J2</f>
        <v>Ver - 6</v>
      </c>
      <c r="S2" s="49"/>
      <c r="AH2" s="49"/>
    </row>
    <row r="3" spans="1:34" s="1" customFormat="1">
      <c r="B3" s="1" t="str">
        <f>'Breakdown Summary'!B3</f>
        <v>Cowm Top Lane, Rochdale</v>
      </c>
      <c r="G3" s="1" t="str">
        <f>'Breakdown Summary'!H3</f>
        <v>Breakdown of Abnormal Costs</v>
      </c>
    </row>
    <row r="4" spans="1:34" s="1" customFormat="1" ht="15.75" customHeight="1"/>
    <row r="5" spans="1:34" s="1" customFormat="1" ht="15" customHeight="1">
      <c r="A5" s="1046" t="s">
        <v>0</v>
      </c>
      <c r="B5" s="1054" t="s">
        <v>1</v>
      </c>
      <c r="C5" s="1055"/>
      <c r="D5" s="1055"/>
      <c r="E5" s="1055"/>
      <c r="F5" s="1056"/>
      <c r="G5" s="1046" t="s">
        <v>6</v>
      </c>
      <c r="H5" s="1046" t="s">
        <v>5</v>
      </c>
      <c r="I5" s="1046" t="s">
        <v>2</v>
      </c>
      <c r="J5" s="1046" t="s">
        <v>3</v>
      </c>
      <c r="L5" s="1124" t="str">
        <f>'Breakdown Summary'!L5:S5</f>
        <v>Phasing Breakdown</v>
      </c>
      <c r="M5" s="1125"/>
      <c r="N5" s="1125"/>
      <c r="O5" s="1125"/>
      <c r="P5" s="1125"/>
      <c r="Q5" s="1125"/>
      <c r="R5" s="1125"/>
      <c r="S5" s="1126"/>
      <c r="U5" s="195"/>
      <c r="V5" s="195"/>
      <c r="W5" s="195"/>
      <c r="X5" s="195"/>
      <c r="Y5" s="195"/>
      <c r="AA5" s="1124" t="s">
        <v>17</v>
      </c>
      <c r="AB5" s="1125"/>
      <c r="AC5" s="1125"/>
      <c r="AD5" s="1125"/>
      <c r="AE5" s="1125"/>
      <c r="AF5" s="1125"/>
      <c r="AG5" s="1125"/>
      <c r="AH5" s="1126"/>
    </row>
    <row r="6" spans="1:34" s="1" customFormat="1" ht="14" customHeight="1">
      <c r="A6" s="1047"/>
      <c r="B6" s="1057"/>
      <c r="C6" s="1058"/>
      <c r="D6" s="1058"/>
      <c r="E6" s="1058"/>
      <c r="F6" s="1059"/>
      <c r="G6" s="1047"/>
      <c r="H6" s="1047"/>
      <c r="I6" s="1047"/>
      <c r="J6" s="1047"/>
      <c r="L6" s="1127" t="str">
        <f>'Breakdown Summary'!L6</f>
        <v>Site 1</v>
      </c>
      <c r="M6" s="1128"/>
      <c r="N6" s="1127">
        <f>'Breakdown Summary'!N6</f>
        <v>0</v>
      </c>
      <c r="O6" s="1128"/>
      <c r="P6" s="1063">
        <f>'Breakdown Summary'!P6:P7</f>
        <v>0</v>
      </c>
      <c r="Q6" s="1063">
        <f>'Breakdown Summary'!Q6:Q7</f>
        <v>0</v>
      </c>
      <c r="R6" s="1063">
        <f>'Breakdown Summary'!R6:R7</f>
        <v>0</v>
      </c>
      <c r="S6" s="1063">
        <f>'Breakdown Summary'!S6:S7</f>
        <v>0</v>
      </c>
      <c r="U6" s="195"/>
      <c r="V6" s="195"/>
      <c r="W6" s="195"/>
      <c r="X6" s="195"/>
      <c r="Y6" s="195"/>
      <c r="AA6" s="1127" t="s">
        <v>15</v>
      </c>
      <c r="AB6" s="1140"/>
      <c r="AC6" s="1140"/>
      <c r="AD6" s="1140"/>
      <c r="AE6" s="1128"/>
      <c r="AF6" s="1063" t="s">
        <v>12</v>
      </c>
      <c r="AG6" s="1063" t="s">
        <v>13</v>
      </c>
      <c r="AH6" s="1063" t="s">
        <v>14</v>
      </c>
    </row>
    <row r="7" spans="1:34">
      <c r="A7" s="1047"/>
      <c r="B7" s="1057"/>
      <c r="C7" s="1058"/>
      <c r="D7" s="1058"/>
      <c r="E7" s="1058"/>
      <c r="F7" s="1059"/>
      <c r="G7" s="1047"/>
      <c r="H7" s="1047"/>
      <c r="I7" s="1047"/>
      <c r="J7" s="1047"/>
      <c r="L7" s="59" t="str">
        <f>'Breakdown Summary'!L7</f>
        <v>Barratt</v>
      </c>
      <c r="M7" s="59" t="str">
        <f>'Breakdown Summary'!M7</f>
        <v>David Wilson</v>
      </c>
      <c r="N7" s="59" t="str">
        <f>'Breakdown Summary'!N7</f>
        <v>Phs</v>
      </c>
      <c r="O7" s="59" t="str">
        <f>'Breakdown Summary'!O7</f>
        <v>Phs</v>
      </c>
      <c r="P7" s="1065"/>
      <c r="Q7" s="1065"/>
      <c r="R7" s="1065"/>
      <c r="S7" s="1065"/>
      <c r="U7" s="195"/>
      <c r="V7" s="195"/>
      <c r="W7" s="195"/>
      <c r="X7" s="195"/>
      <c r="Y7" s="195"/>
      <c r="AA7" s="59">
        <v>1</v>
      </c>
      <c r="AB7" s="59">
        <v>2</v>
      </c>
      <c r="AC7" s="59">
        <v>3</v>
      </c>
      <c r="AD7" s="59">
        <v>4</v>
      </c>
      <c r="AE7" s="59">
        <v>5</v>
      </c>
      <c r="AF7" s="1065"/>
      <c r="AG7" s="1065"/>
      <c r="AH7" s="1065"/>
    </row>
    <row r="8" spans="1:34" s="1" customFormat="1">
      <c r="A8" s="1048"/>
      <c r="B8" s="1060"/>
      <c r="C8" s="1061"/>
      <c r="D8" s="1061"/>
      <c r="E8" s="1061"/>
      <c r="F8" s="1062"/>
      <c r="G8" s="1048"/>
      <c r="H8" s="1048"/>
      <c r="I8" s="1048"/>
      <c r="J8" s="1048"/>
      <c r="L8" s="242">
        <f>'Breakdown Summary'!L13</f>
        <v>19.11</v>
      </c>
      <c r="M8" s="242">
        <f>'Breakdown Summary'!M13</f>
        <v>10.009886307464162</v>
      </c>
      <c r="N8" s="242">
        <f>'Breakdown Summary'!N13</f>
        <v>0</v>
      </c>
      <c r="O8" s="242">
        <f>'Breakdown Summary'!O13</f>
        <v>0</v>
      </c>
      <c r="P8" s="62">
        <f>'Breakdown Summary'!P13</f>
        <v>0</v>
      </c>
      <c r="Q8" s="60"/>
      <c r="R8" s="61"/>
      <c r="S8" s="61"/>
      <c r="U8" s="195"/>
      <c r="V8" s="195"/>
      <c r="W8" s="195"/>
      <c r="X8" s="195"/>
      <c r="Y8" s="195"/>
      <c r="AA8" s="62">
        <v>1</v>
      </c>
      <c r="AB8" s="62">
        <v>0</v>
      </c>
      <c r="AC8" s="62">
        <v>0</v>
      </c>
      <c r="AD8" s="62">
        <v>0</v>
      </c>
      <c r="AE8" s="62">
        <v>0</v>
      </c>
      <c r="AF8" s="60">
        <v>0</v>
      </c>
      <c r="AG8" s="61">
        <v>0</v>
      </c>
      <c r="AH8" s="61">
        <v>0</v>
      </c>
    </row>
    <row r="9" spans="1:34">
      <c r="A9" s="16"/>
      <c r="B9" s="3"/>
      <c r="C9" s="4"/>
      <c r="D9" s="4"/>
      <c r="E9" s="4"/>
      <c r="F9" s="5"/>
      <c r="G9" s="11"/>
      <c r="H9" s="12"/>
      <c r="I9" s="21"/>
      <c r="J9" s="12"/>
      <c r="L9" s="3"/>
      <c r="M9" s="58"/>
      <c r="N9" s="4"/>
      <c r="O9" s="58"/>
      <c r="P9" s="4"/>
      <c r="Q9" s="58"/>
      <c r="R9" s="58"/>
      <c r="S9" s="5"/>
      <c r="U9" s="21"/>
      <c r="V9" s="21"/>
      <c r="W9" s="21"/>
      <c r="X9" s="21"/>
      <c r="Y9" s="21"/>
      <c r="AA9" s="3"/>
      <c r="AB9" s="58"/>
      <c r="AC9" s="4"/>
      <c r="AD9" s="58"/>
      <c r="AE9" s="4"/>
      <c r="AF9" s="58"/>
      <c r="AG9" s="58"/>
      <c r="AH9" s="5"/>
    </row>
    <row r="10" spans="1:34">
      <c r="A10" s="19">
        <v>11</v>
      </c>
      <c r="B10" s="20" t="s">
        <v>158</v>
      </c>
      <c r="F10" s="7"/>
      <c r="G10" s="11"/>
      <c r="H10" s="13"/>
      <c r="I10" s="21"/>
      <c r="J10" s="13"/>
      <c r="L10" s="6"/>
      <c r="M10" s="2"/>
      <c r="O10" s="2"/>
      <c r="Q10" s="2"/>
      <c r="R10" s="2"/>
      <c r="S10" s="7"/>
      <c r="U10" s="21"/>
      <c r="V10" s="21"/>
      <c r="W10" s="21"/>
      <c r="X10" s="21"/>
      <c r="Y10" s="21"/>
      <c r="AA10" s="6"/>
      <c r="AB10" s="2"/>
      <c r="AD10" s="2"/>
      <c r="AF10" s="2"/>
      <c r="AG10" s="2"/>
      <c r="AH10" s="7"/>
    </row>
    <row r="11" spans="1:34">
      <c r="A11" s="19"/>
      <c r="B11" s="20"/>
      <c r="F11" s="7"/>
      <c r="G11" s="11"/>
      <c r="H11" s="13"/>
      <c r="I11" s="21"/>
      <c r="J11" s="13"/>
      <c r="L11" s="6"/>
      <c r="M11" s="2"/>
      <c r="O11" s="2"/>
      <c r="Q11" s="2"/>
      <c r="R11" s="2"/>
      <c r="S11" s="7"/>
      <c r="U11" s="21"/>
      <c r="V11" s="21"/>
      <c r="W11" s="21"/>
      <c r="X11" s="21"/>
      <c r="Y11" s="21"/>
      <c r="AA11" s="6"/>
      <c r="AB11" s="2"/>
      <c r="AD11" s="2"/>
      <c r="AF11" s="2"/>
      <c r="AG11" s="2"/>
      <c r="AH11" s="7"/>
    </row>
    <row r="12" spans="1:34">
      <c r="A12" s="17"/>
      <c r="B12" s="20" t="s">
        <v>129</v>
      </c>
      <c r="F12" s="24"/>
      <c r="G12" s="11"/>
      <c r="H12" s="13"/>
      <c r="I12" s="67"/>
      <c r="J12" s="13"/>
      <c r="L12" s="6"/>
      <c r="M12" s="2"/>
      <c r="O12" s="2"/>
      <c r="Q12" s="2"/>
      <c r="R12" s="2"/>
      <c r="S12" s="7"/>
      <c r="U12" s="21"/>
      <c r="V12" s="21"/>
      <c r="W12" s="21"/>
      <c r="X12" s="21"/>
      <c r="Y12" s="21"/>
      <c r="AA12" s="6"/>
      <c r="AB12" s="2"/>
      <c r="AD12" s="2"/>
      <c r="AF12" s="2"/>
      <c r="AG12" s="2"/>
      <c r="AH12" s="7"/>
    </row>
    <row r="13" spans="1:34">
      <c r="A13" s="17"/>
      <c r="B13" s="57"/>
      <c r="C13" s="55"/>
      <c r="D13" s="55"/>
      <c r="E13" s="55"/>
      <c r="F13" s="56"/>
      <c r="G13" s="11"/>
      <c r="H13" s="13"/>
      <c r="I13" s="67"/>
      <c r="J13" s="13"/>
      <c r="L13" s="6"/>
      <c r="M13" s="2"/>
      <c r="O13" s="2"/>
      <c r="Q13" s="2"/>
      <c r="R13" s="2"/>
      <c r="S13" s="7"/>
      <c r="U13" s="21"/>
      <c r="V13" s="21"/>
      <c r="W13" s="21"/>
      <c r="X13" s="21"/>
      <c r="Y13" s="21"/>
      <c r="AA13" s="6"/>
      <c r="AB13" s="2"/>
      <c r="AD13" s="2"/>
      <c r="AF13" s="2"/>
      <c r="AG13" s="2"/>
      <c r="AH13" s="7"/>
    </row>
    <row r="14" spans="1:34">
      <c r="A14" s="17"/>
      <c r="B14" s="57"/>
      <c r="C14" t="s">
        <v>673</v>
      </c>
      <c r="D14" s="55"/>
      <c r="E14" s="55"/>
      <c r="F14" s="56"/>
      <c r="G14" s="69">
        <f>'Dwelling Mix'!AB90</f>
        <v>445</v>
      </c>
      <c r="H14" s="13" t="s">
        <v>19</v>
      </c>
      <c r="I14" s="67">
        <v>850</v>
      </c>
      <c r="J14" s="206">
        <f>G14*I14</f>
        <v>378250</v>
      </c>
      <c r="L14" s="64">
        <f>J14/'Dwelling Mix'!$AB$90*'Dwelling Mix'!$P$90</f>
        <v>256700</v>
      </c>
      <c r="M14" s="649">
        <f>J14-L14</f>
        <v>121550</v>
      </c>
      <c r="O14" s="2"/>
      <c r="Q14" s="2"/>
      <c r="R14" s="2"/>
      <c r="S14" s="7"/>
      <c r="U14" s="21"/>
      <c r="V14" s="21"/>
      <c r="W14" s="21"/>
      <c r="X14" s="21"/>
      <c r="Y14" s="21"/>
      <c r="AA14" s="64"/>
      <c r="AB14" s="2"/>
      <c r="AD14" s="2"/>
      <c r="AF14" s="2"/>
      <c r="AG14" s="2"/>
      <c r="AH14" s="7"/>
    </row>
    <row r="15" spans="1:34">
      <c r="A15" s="17"/>
      <c r="B15" s="57"/>
      <c r="D15" s="55"/>
      <c r="E15" s="55"/>
      <c r="F15" s="56"/>
      <c r="G15" s="69"/>
      <c r="H15" s="13"/>
      <c r="I15" s="67"/>
      <c r="J15" s="206"/>
      <c r="L15" s="64">
        <f>J15/'Dwelling Mix'!$AB$90*'Dwelling Mix'!$P$90</f>
        <v>0</v>
      </c>
      <c r="M15" s="649">
        <f t="shared" ref="M15:M29" si="0">J15-L15</f>
        <v>0</v>
      </c>
      <c r="O15" s="2"/>
      <c r="Q15" s="2"/>
      <c r="R15" s="2"/>
      <c r="S15" s="7"/>
      <c r="U15" s="21"/>
      <c r="V15" s="21"/>
      <c r="W15" s="21"/>
      <c r="X15" s="21"/>
      <c r="Y15" s="21"/>
      <c r="AA15" s="64"/>
      <c r="AB15" s="2"/>
      <c r="AD15" s="2"/>
      <c r="AF15" s="2"/>
      <c r="AG15" s="2"/>
      <c r="AH15" s="7"/>
    </row>
    <row r="16" spans="1:34">
      <c r="A16" s="17"/>
      <c r="B16" s="57"/>
      <c r="C16" s="55"/>
      <c r="D16" s="55"/>
      <c r="E16" s="55"/>
      <c r="F16" s="56"/>
      <c r="G16" s="69"/>
      <c r="H16" s="13"/>
      <c r="I16" s="67"/>
      <c r="J16" s="206"/>
      <c r="L16" s="64">
        <f>J16/'Dwelling Mix'!$AB$90*'Dwelling Mix'!$P$90</f>
        <v>0</v>
      </c>
      <c r="M16" s="649">
        <f t="shared" si="0"/>
        <v>0</v>
      </c>
      <c r="N16" s="86"/>
      <c r="O16" s="2"/>
      <c r="Q16" s="2"/>
      <c r="R16" s="2"/>
      <c r="S16" s="7"/>
      <c r="U16" s="21"/>
      <c r="V16" s="21"/>
      <c r="W16" s="21"/>
      <c r="X16" s="21"/>
      <c r="Y16" s="21"/>
      <c r="AA16" s="64"/>
      <c r="AB16" s="2"/>
      <c r="AD16" s="2"/>
      <c r="AF16" s="2"/>
      <c r="AG16" s="2"/>
      <c r="AH16" s="7"/>
    </row>
    <row r="17" spans="1:34">
      <c r="A17" s="17"/>
      <c r="B17" s="57"/>
      <c r="C17" s="55"/>
      <c r="D17" s="55"/>
      <c r="E17" s="55"/>
      <c r="F17" s="56"/>
      <c r="G17" s="69"/>
      <c r="H17" s="13"/>
      <c r="I17" s="67"/>
      <c r="J17" s="206"/>
      <c r="L17" s="64">
        <f>J17/'Dwelling Mix'!$AB$90*'Dwelling Mix'!$P$90</f>
        <v>0</v>
      </c>
      <c r="M17" s="649">
        <f t="shared" si="0"/>
        <v>0</v>
      </c>
      <c r="O17" s="554"/>
      <c r="Q17" s="2"/>
      <c r="R17" s="2"/>
      <c r="S17" s="7"/>
      <c r="U17" s="21"/>
      <c r="V17" s="21"/>
      <c r="W17" s="21"/>
      <c r="X17" s="21"/>
      <c r="Y17" s="21"/>
      <c r="AA17" s="64"/>
      <c r="AB17" s="2"/>
      <c r="AD17" s="2"/>
      <c r="AF17" s="2"/>
      <c r="AG17" s="2"/>
      <c r="AH17" s="7"/>
    </row>
    <row r="18" spans="1:34">
      <c r="A18" s="17"/>
      <c r="B18" s="57"/>
      <c r="C18" s="55"/>
      <c r="D18" s="55"/>
      <c r="E18" s="55"/>
      <c r="F18" s="56"/>
      <c r="G18" s="69"/>
      <c r="H18" s="206"/>
      <c r="I18" s="67"/>
      <c r="J18" s="206"/>
      <c r="L18" s="64">
        <f>J18/'Dwelling Mix'!$AB$90*'Dwelling Mix'!$P$90</f>
        <v>0</v>
      </c>
      <c r="M18" s="649">
        <f t="shared" si="0"/>
        <v>0</v>
      </c>
      <c r="O18" s="554"/>
      <c r="Q18" s="2"/>
      <c r="R18" s="2"/>
      <c r="S18" s="7"/>
      <c r="U18" s="21"/>
      <c r="V18" s="21"/>
      <c r="W18" s="21"/>
      <c r="X18" s="21"/>
      <c r="Y18" s="21"/>
      <c r="AA18" s="64"/>
      <c r="AB18" s="2"/>
      <c r="AD18" s="2"/>
      <c r="AF18" s="2"/>
      <c r="AG18" s="2"/>
      <c r="AH18" s="7"/>
    </row>
    <row r="19" spans="1:34">
      <c r="A19" s="17"/>
      <c r="B19" s="57"/>
      <c r="C19" s="45" t="s">
        <v>592</v>
      </c>
      <c r="D19" s="55"/>
      <c r="E19" s="55"/>
      <c r="F19" s="56"/>
      <c r="G19" s="11">
        <v>2</v>
      </c>
      <c r="H19" s="13" t="s">
        <v>19</v>
      </c>
      <c r="I19" s="21">
        <v>29750</v>
      </c>
      <c r="J19" s="206">
        <f>I19*G19</f>
        <v>59500</v>
      </c>
      <c r="L19" s="64">
        <f>J19/'Dwelling Mix'!$AB$90*'Dwelling Mix'!$P$90</f>
        <v>40379.775280898873</v>
      </c>
      <c r="M19" s="649">
        <f t="shared" si="0"/>
        <v>19120.224719101127</v>
      </c>
      <c r="O19" s="554"/>
      <c r="Q19" s="2"/>
      <c r="R19" s="2"/>
      <c r="S19" s="7"/>
      <c r="U19" s="21"/>
      <c r="V19" s="21"/>
      <c r="W19" s="21"/>
      <c r="X19" s="21"/>
      <c r="Y19" s="21"/>
      <c r="AA19" s="64"/>
      <c r="AB19" s="2"/>
      <c r="AD19" s="2"/>
      <c r="AF19" s="2"/>
      <c r="AG19" s="2"/>
      <c r="AH19" s="7"/>
    </row>
    <row r="20" spans="1:34">
      <c r="A20" s="17"/>
      <c r="B20" s="57"/>
      <c r="C20" s="45" t="s">
        <v>593</v>
      </c>
      <c r="D20" s="55"/>
      <c r="E20" s="55"/>
      <c r="F20" s="56"/>
      <c r="G20" s="11">
        <v>2</v>
      </c>
      <c r="H20" s="13" t="s">
        <v>19</v>
      </c>
      <c r="I20" s="21">
        <v>67500</v>
      </c>
      <c r="J20" s="206">
        <f>I20*G20</f>
        <v>135000</v>
      </c>
      <c r="L20" s="64">
        <f>J20/'Dwelling Mix'!$AB$90*'Dwelling Mix'!$P$90</f>
        <v>91617.977528089876</v>
      </c>
      <c r="M20" s="649">
        <f t="shared" si="0"/>
        <v>43382.022471910124</v>
      </c>
      <c r="O20" s="554"/>
      <c r="Q20" s="2"/>
      <c r="R20" s="2"/>
      <c r="S20" s="7"/>
      <c r="U20" s="21"/>
      <c r="V20" s="21"/>
      <c r="W20" s="21"/>
      <c r="X20" s="21"/>
      <c r="Y20" s="21"/>
      <c r="AA20" s="64"/>
      <c r="AB20" s="2"/>
      <c r="AD20" s="2"/>
      <c r="AF20" s="2"/>
      <c r="AG20" s="2"/>
      <c r="AH20" s="7"/>
    </row>
    <row r="21" spans="1:34">
      <c r="A21" s="17"/>
      <c r="B21" s="57"/>
      <c r="C21" s="55"/>
      <c r="D21" s="55"/>
      <c r="E21" s="55"/>
      <c r="F21" s="56"/>
      <c r="G21" s="11"/>
      <c r="H21" s="13"/>
      <c r="I21" s="21"/>
      <c r="J21" s="206"/>
      <c r="L21" s="64">
        <f>J21/'Dwelling Mix'!$AB$90*'Dwelling Mix'!$P$90</f>
        <v>0</v>
      </c>
      <c r="M21" s="649">
        <f t="shared" si="0"/>
        <v>0</v>
      </c>
      <c r="O21" s="554"/>
      <c r="Q21" s="2"/>
      <c r="R21" s="2"/>
      <c r="S21" s="7"/>
      <c r="U21" s="21"/>
      <c r="V21" s="21"/>
      <c r="W21" s="21"/>
      <c r="X21" s="21"/>
      <c r="Y21" s="21"/>
      <c r="AA21" s="64"/>
      <c r="AB21" s="2"/>
      <c r="AD21" s="2"/>
      <c r="AF21" s="2"/>
      <c r="AG21" s="2"/>
      <c r="AH21" s="7"/>
    </row>
    <row r="22" spans="1:34">
      <c r="A22" s="17"/>
      <c r="B22" s="57"/>
      <c r="C22" s="55"/>
      <c r="D22" s="55"/>
      <c r="E22" s="55"/>
      <c r="F22" s="56"/>
      <c r="G22" s="11"/>
      <c r="H22" s="13"/>
      <c r="I22" s="21"/>
      <c r="J22" s="206"/>
      <c r="L22" s="64">
        <f>J22/'Dwelling Mix'!$AB$90*'Dwelling Mix'!$P$90</f>
        <v>0</v>
      </c>
      <c r="M22" s="649">
        <f t="shared" si="0"/>
        <v>0</v>
      </c>
      <c r="O22" s="2"/>
      <c r="Q22" s="2"/>
      <c r="R22" s="2"/>
      <c r="S22" s="7"/>
      <c r="U22" s="21"/>
      <c r="V22" s="21"/>
      <c r="W22" s="21"/>
      <c r="X22" s="21"/>
      <c r="Y22" s="21"/>
      <c r="AA22" s="64"/>
      <c r="AB22" s="2"/>
      <c r="AD22" s="2"/>
      <c r="AF22" s="2"/>
      <c r="AG22" s="2"/>
      <c r="AH22" s="7"/>
    </row>
    <row r="23" spans="1:34">
      <c r="A23" s="17"/>
      <c r="B23" s="44" t="s">
        <v>594</v>
      </c>
      <c r="C23" s="55"/>
      <c r="D23" s="55"/>
      <c r="E23" s="55"/>
      <c r="F23" s="56"/>
      <c r="G23" s="11"/>
      <c r="H23" s="13"/>
      <c r="I23" s="21"/>
      <c r="J23" s="206"/>
      <c r="L23" s="64">
        <f>J23/'Dwelling Mix'!$AB$90*'Dwelling Mix'!$P$90</f>
        <v>0</v>
      </c>
      <c r="M23" s="649">
        <f t="shared" si="0"/>
        <v>0</v>
      </c>
      <c r="O23" s="2"/>
      <c r="Q23" s="2"/>
      <c r="R23" s="2"/>
      <c r="S23" s="7"/>
      <c r="U23" s="21"/>
      <c r="V23" s="21"/>
      <c r="W23" s="21"/>
      <c r="X23" s="21"/>
      <c r="Y23" s="21"/>
      <c r="AA23" s="64"/>
      <c r="AB23" s="2"/>
      <c r="AD23" s="2"/>
      <c r="AF23" s="2"/>
      <c r="AG23" s="2"/>
      <c r="AH23" s="7"/>
    </row>
    <row r="24" spans="1:34">
      <c r="A24" s="17"/>
      <c r="B24" s="44"/>
      <c r="C24" s="55"/>
      <c r="D24" s="55"/>
      <c r="E24" s="55"/>
      <c r="F24" s="56"/>
      <c r="G24" s="11"/>
      <c r="H24" s="13"/>
      <c r="I24" s="21"/>
      <c r="J24" s="206"/>
      <c r="L24" s="64">
        <f>J24/'Dwelling Mix'!$AB$90*'Dwelling Mix'!$P$90</f>
        <v>0</v>
      </c>
      <c r="M24" s="649">
        <f t="shared" si="0"/>
        <v>0</v>
      </c>
      <c r="O24" s="2"/>
      <c r="Q24" s="2"/>
      <c r="R24" s="2"/>
      <c r="S24" s="7"/>
      <c r="U24" s="21"/>
      <c r="V24" s="21"/>
      <c r="W24" s="21"/>
      <c r="X24" s="21"/>
      <c r="Y24" s="21"/>
      <c r="AA24" s="64"/>
      <c r="AB24" s="2"/>
      <c r="AD24" s="2"/>
      <c r="AF24" s="2"/>
      <c r="AG24" s="2"/>
      <c r="AH24" s="7"/>
    </row>
    <row r="25" spans="1:34">
      <c r="A25" s="17"/>
      <c r="B25" s="44"/>
      <c r="C25" s="45" t="s">
        <v>657</v>
      </c>
      <c r="D25" s="55"/>
      <c r="E25" s="55"/>
      <c r="F25" s="56"/>
      <c r="G25" s="11"/>
      <c r="H25" s="13"/>
      <c r="I25" s="21"/>
      <c r="J25" s="206">
        <v>175000</v>
      </c>
      <c r="L25" s="64">
        <f>J25/'Dwelling Mix'!$AB$90*'Dwelling Mix'!$P$90</f>
        <v>118764.04494382022</v>
      </c>
      <c r="M25" s="649">
        <f t="shared" si="0"/>
        <v>56235.955056179781</v>
      </c>
      <c r="O25" s="2"/>
      <c r="Q25" s="2"/>
      <c r="R25" s="2"/>
      <c r="S25" s="7"/>
      <c r="U25" s="21"/>
      <c r="V25" s="21"/>
      <c r="W25" s="21"/>
      <c r="X25" s="21"/>
      <c r="Y25" s="21"/>
      <c r="AA25" s="64"/>
      <c r="AB25" s="2"/>
      <c r="AD25" s="2"/>
      <c r="AF25" s="2"/>
      <c r="AG25" s="2"/>
      <c r="AH25" s="7"/>
    </row>
    <row r="26" spans="1:34">
      <c r="A26" s="17"/>
      <c r="B26" s="44"/>
      <c r="C26" s="55"/>
      <c r="D26" s="55"/>
      <c r="E26" s="55"/>
      <c r="F26" s="56"/>
      <c r="G26" s="11"/>
      <c r="H26" s="13"/>
      <c r="I26" s="21"/>
      <c r="J26" s="206"/>
      <c r="L26" s="64">
        <f>J26/'Dwelling Mix'!$AB$90*'Dwelling Mix'!$P$90</f>
        <v>0</v>
      </c>
      <c r="M26" s="649">
        <f t="shared" si="0"/>
        <v>0</v>
      </c>
      <c r="O26" s="2"/>
      <c r="Q26" s="2"/>
      <c r="R26" s="2"/>
      <c r="S26" s="7"/>
      <c r="U26" s="21"/>
      <c r="V26" s="21"/>
      <c r="W26" s="21"/>
      <c r="X26" s="21"/>
      <c r="Y26" s="21"/>
      <c r="AA26" s="64"/>
      <c r="AB26" s="2"/>
      <c r="AD26" s="2"/>
      <c r="AF26" s="2"/>
      <c r="AG26" s="2"/>
      <c r="AH26" s="7"/>
    </row>
    <row r="27" spans="1:34">
      <c r="A27" s="17"/>
      <c r="B27" s="44"/>
      <c r="C27" s="45" t="s">
        <v>746</v>
      </c>
      <c r="D27" s="55"/>
      <c r="E27" s="55"/>
      <c r="F27" s="56"/>
      <c r="G27" s="11"/>
      <c r="H27" s="13"/>
      <c r="I27" s="21"/>
      <c r="J27" s="206">
        <v>145000</v>
      </c>
      <c r="L27" s="64">
        <f>J27/'Dwelling Mix'!$AB$90*'Dwelling Mix'!$P$90</f>
        <v>98404.494382022473</v>
      </c>
      <c r="M27" s="649">
        <f t="shared" si="0"/>
        <v>46595.505617977527</v>
      </c>
      <c r="O27" s="2"/>
      <c r="Q27" s="2"/>
      <c r="R27" s="2"/>
      <c r="S27" s="7"/>
      <c r="U27" s="21"/>
      <c r="V27" s="21"/>
      <c r="W27" s="21"/>
      <c r="X27" s="21"/>
      <c r="Y27" s="21"/>
      <c r="AA27" s="64"/>
      <c r="AB27" s="2"/>
      <c r="AD27" s="2"/>
      <c r="AF27" s="2"/>
      <c r="AG27" s="2"/>
      <c r="AH27" s="7"/>
    </row>
    <row r="28" spans="1:34">
      <c r="A28" s="17"/>
      <c r="B28" s="44"/>
      <c r="C28" s="55"/>
      <c r="D28" s="55"/>
      <c r="E28" s="55"/>
      <c r="F28" s="56"/>
      <c r="G28" s="11"/>
      <c r="H28" s="13"/>
      <c r="I28" s="21"/>
      <c r="J28" s="206"/>
      <c r="L28" s="64">
        <f>J28/'Dwelling Mix'!$AB$90*'Dwelling Mix'!$P$90</f>
        <v>0</v>
      </c>
      <c r="M28" s="649">
        <f t="shared" si="0"/>
        <v>0</v>
      </c>
      <c r="O28" s="2"/>
      <c r="Q28" s="2"/>
      <c r="R28" s="2"/>
      <c r="S28" s="7"/>
      <c r="U28" s="21"/>
      <c r="V28" s="21"/>
      <c r="W28" s="21"/>
      <c r="X28" s="21"/>
      <c r="Y28" s="21"/>
      <c r="AA28" s="64"/>
      <c r="AB28" s="2"/>
      <c r="AD28" s="2"/>
      <c r="AF28" s="2"/>
      <c r="AG28" s="2"/>
      <c r="AH28" s="7"/>
    </row>
    <row r="29" spans="1:34">
      <c r="A29" s="17"/>
      <c r="B29" s="44"/>
      <c r="C29" s="45" t="s">
        <v>747</v>
      </c>
      <c r="D29" s="55"/>
      <c r="E29" s="55"/>
      <c r="F29" s="56"/>
      <c r="G29" s="11">
        <v>1</v>
      </c>
      <c r="H29" s="13" t="s">
        <v>19</v>
      </c>
      <c r="I29" s="21">
        <v>75000</v>
      </c>
      <c r="J29" s="206">
        <f>I29*G29</f>
        <v>75000</v>
      </c>
      <c r="L29" s="64">
        <f>J29/'Dwelling Mix'!$AB$90*'Dwelling Mix'!$P$90</f>
        <v>50898.876404494382</v>
      </c>
      <c r="M29" s="649">
        <f t="shared" si="0"/>
        <v>24101.123595505618</v>
      </c>
      <c r="O29" s="2"/>
      <c r="Q29" s="2"/>
      <c r="R29" s="2"/>
      <c r="S29" s="7"/>
      <c r="U29" s="21"/>
      <c r="V29" s="21"/>
      <c r="W29" s="21"/>
      <c r="X29" s="21"/>
      <c r="Y29" s="21"/>
      <c r="AA29" s="64"/>
      <c r="AB29" s="2"/>
      <c r="AD29" s="2"/>
      <c r="AF29" s="2"/>
      <c r="AG29" s="2"/>
      <c r="AH29" s="7"/>
    </row>
    <row r="30" spans="1:34">
      <c r="A30" s="17"/>
      <c r="B30" s="44"/>
      <c r="C30" s="55"/>
      <c r="D30" s="55"/>
      <c r="E30" s="55"/>
      <c r="F30" s="56"/>
      <c r="G30" s="11"/>
      <c r="H30" s="13"/>
      <c r="I30" s="21"/>
      <c r="J30" s="206"/>
      <c r="L30" s="64"/>
      <c r="M30" s="2"/>
      <c r="O30" s="2"/>
      <c r="Q30" s="2"/>
      <c r="R30" s="2"/>
      <c r="S30" s="7"/>
      <c r="U30" s="21"/>
      <c r="V30" s="21"/>
      <c r="W30" s="21"/>
      <c r="X30" s="21"/>
      <c r="Y30" s="21"/>
      <c r="AA30" s="64"/>
      <c r="AB30" s="2"/>
      <c r="AD30" s="2"/>
      <c r="AF30" s="2"/>
      <c r="AG30" s="2"/>
      <c r="AH30" s="7"/>
    </row>
    <row r="31" spans="1:34">
      <c r="A31" s="17"/>
      <c r="B31" s="44"/>
      <c r="C31" s="55"/>
      <c r="D31" s="55"/>
      <c r="E31" s="55"/>
      <c r="F31" s="56"/>
      <c r="G31" s="11"/>
      <c r="H31" s="13"/>
      <c r="I31" s="21"/>
      <c r="J31" s="206"/>
      <c r="L31" s="64"/>
      <c r="M31" s="2"/>
      <c r="O31" s="2"/>
      <c r="Q31" s="2"/>
      <c r="R31" s="2"/>
      <c r="S31" s="7"/>
      <c r="U31" s="21"/>
      <c r="V31" s="21"/>
      <c r="W31" s="21"/>
      <c r="X31" s="21"/>
      <c r="Y31" s="21"/>
      <c r="AA31" s="64"/>
      <c r="AB31" s="2"/>
      <c r="AD31" s="2"/>
      <c r="AF31" s="2"/>
      <c r="AG31" s="2"/>
      <c r="AH31" s="7"/>
    </row>
    <row r="32" spans="1:34">
      <c r="A32" s="17"/>
      <c r="B32" s="44"/>
      <c r="C32" s="55"/>
      <c r="D32" s="55"/>
      <c r="E32" s="55"/>
      <c r="F32" s="56"/>
      <c r="G32" s="11"/>
      <c r="H32" s="13"/>
      <c r="I32" s="21"/>
      <c r="J32" s="206"/>
      <c r="L32" s="64"/>
      <c r="M32" s="2"/>
      <c r="O32" s="2"/>
      <c r="Q32" s="2"/>
      <c r="R32" s="2"/>
      <c r="S32" s="7"/>
      <c r="U32" s="21"/>
      <c r="V32" s="21"/>
      <c r="W32" s="21"/>
      <c r="X32" s="21"/>
      <c r="Y32" s="21"/>
      <c r="AA32" s="64"/>
      <c r="AB32" s="2"/>
      <c r="AD32" s="2"/>
      <c r="AF32" s="2"/>
      <c r="AG32" s="2"/>
      <c r="AH32" s="7"/>
    </row>
    <row r="33" spans="1:34">
      <c r="A33" s="17"/>
      <c r="B33" s="44"/>
      <c r="C33" s="55"/>
      <c r="D33" s="55"/>
      <c r="E33" s="55"/>
      <c r="F33" s="56"/>
      <c r="G33" s="11"/>
      <c r="H33" s="13"/>
      <c r="I33" s="21"/>
      <c r="J33" s="206"/>
      <c r="L33" s="64"/>
      <c r="M33" s="2"/>
      <c r="O33" s="2"/>
      <c r="Q33" s="2"/>
      <c r="R33" s="2"/>
      <c r="S33" s="7"/>
      <c r="U33" s="21"/>
      <c r="V33" s="21"/>
      <c r="W33" s="21"/>
      <c r="X33" s="21"/>
      <c r="Y33" s="21"/>
      <c r="AA33" s="64"/>
      <c r="AB33" s="2"/>
      <c r="AD33" s="2"/>
      <c r="AF33" s="2"/>
      <c r="AG33" s="2"/>
      <c r="AH33" s="7"/>
    </row>
    <row r="34" spans="1:34">
      <c r="A34" s="17"/>
      <c r="B34" s="44"/>
      <c r="C34" s="55"/>
      <c r="D34" s="55"/>
      <c r="E34" s="55"/>
      <c r="F34" s="56"/>
      <c r="G34" s="11"/>
      <c r="H34" s="13"/>
      <c r="I34" s="21"/>
      <c r="J34" s="206"/>
      <c r="L34" s="64"/>
      <c r="M34" s="2"/>
      <c r="O34" s="2"/>
      <c r="Q34" s="2"/>
      <c r="R34" s="2"/>
      <c r="S34" s="7"/>
      <c r="U34" s="21"/>
      <c r="V34" s="21"/>
      <c r="W34" s="21"/>
      <c r="X34" s="21"/>
      <c r="Y34" s="21"/>
      <c r="AA34" s="64"/>
      <c r="AB34" s="2"/>
      <c r="AD34" s="2"/>
      <c r="AF34" s="2"/>
      <c r="AG34" s="2"/>
      <c r="AH34" s="7"/>
    </row>
    <row r="35" spans="1:34">
      <c r="A35" s="17"/>
      <c r="B35" s="44"/>
      <c r="C35" s="55"/>
      <c r="D35" s="55"/>
      <c r="E35" s="55"/>
      <c r="F35" s="56"/>
      <c r="G35" s="11"/>
      <c r="H35" s="13"/>
      <c r="I35" s="21"/>
      <c r="J35" s="206"/>
      <c r="L35" s="64"/>
      <c r="M35" s="2"/>
      <c r="O35" s="2"/>
      <c r="Q35" s="2"/>
      <c r="R35" s="2"/>
      <c r="S35" s="7"/>
      <c r="U35" s="21"/>
      <c r="V35" s="21"/>
      <c r="W35" s="21"/>
      <c r="X35" s="21"/>
      <c r="Y35" s="21"/>
      <c r="AA35" s="64"/>
      <c r="AB35" s="2"/>
      <c r="AD35" s="2"/>
      <c r="AF35" s="2"/>
      <c r="AG35" s="2"/>
      <c r="AH35" s="7"/>
    </row>
    <row r="36" spans="1:34">
      <c r="A36" s="17"/>
      <c r="B36" s="44"/>
      <c r="C36" s="55"/>
      <c r="D36" s="55"/>
      <c r="E36" s="55"/>
      <c r="F36" s="56"/>
      <c r="G36" s="11"/>
      <c r="H36" s="13"/>
      <c r="I36" s="21"/>
      <c r="J36" s="206"/>
      <c r="L36" s="64"/>
      <c r="M36" s="2"/>
      <c r="O36" s="2"/>
      <c r="Q36" s="2"/>
      <c r="R36" s="2"/>
      <c r="S36" s="7"/>
      <c r="U36" s="21"/>
      <c r="V36" s="21"/>
      <c r="W36" s="21"/>
      <c r="X36" s="21"/>
      <c r="Y36" s="21"/>
      <c r="AA36" s="64"/>
      <c r="AB36" s="2"/>
      <c r="AD36" s="2"/>
      <c r="AF36" s="2"/>
      <c r="AG36" s="2"/>
      <c r="AH36" s="7"/>
    </row>
    <row r="37" spans="1:34">
      <c r="A37" s="17"/>
      <c r="B37" s="44"/>
      <c r="C37" s="55"/>
      <c r="D37" s="55"/>
      <c r="E37" s="55"/>
      <c r="F37" s="56"/>
      <c r="G37" s="11"/>
      <c r="H37" s="13"/>
      <c r="I37" s="21"/>
      <c r="J37" s="206"/>
      <c r="L37" s="64"/>
      <c r="M37" s="2"/>
      <c r="O37" s="2"/>
      <c r="Q37" s="2"/>
      <c r="R37" s="2"/>
      <c r="S37" s="7"/>
      <c r="U37" s="21"/>
      <c r="V37" s="21"/>
      <c r="W37" s="21"/>
      <c r="X37" s="21"/>
      <c r="Y37" s="21"/>
      <c r="AA37" s="64"/>
      <c r="AB37" s="2"/>
      <c r="AD37" s="2"/>
      <c r="AF37" s="2"/>
      <c r="AG37" s="2"/>
      <c r="AH37" s="7"/>
    </row>
    <row r="38" spans="1:34">
      <c r="A38" s="17"/>
      <c r="B38" s="44"/>
      <c r="C38" s="55"/>
      <c r="D38" s="55"/>
      <c r="E38" s="55"/>
      <c r="F38" s="56"/>
      <c r="G38" s="11"/>
      <c r="H38" s="13"/>
      <c r="I38" s="21"/>
      <c r="J38" s="206"/>
      <c r="L38" s="64"/>
      <c r="M38" s="2"/>
      <c r="O38" s="2"/>
      <c r="Q38" s="2"/>
      <c r="R38" s="2"/>
      <c r="S38" s="7"/>
      <c r="U38" s="21"/>
      <c r="V38" s="21"/>
      <c r="W38" s="21"/>
      <c r="X38" s="21"/>
      <c r="Y38" s="21"/>
      <c r="AA38" s="64"/>
      <c r="AB38" s="2"/>
      <c r="AD38" s="2"/>
      <c r="AF38" s="2"/>
      <c r="AG38" s="2"/>
      <c r="AH38" s="7"/>
    </row>
    <row r="39" spans="1:34">
      <c r="B39" s="44"/>
      <c r="C39" s="45"/>
      <c r="D39" s="55"/>
      <c r="E39" s="55"/>
      <c r="F39" s="56"/>
      <c r="G39" s="11"/>
      <c r="H39" s="13"/>
      <c r="I39" s="21"/>
      <c r="J39" s="206"/>
      <c r="L39" s="6"/>
      <c r="M39" s="2"/>
      <c r="O39" s="2"/>
      <c r="Q39" s="2"/>
      <c r="R39" s="2"/>
      <c r="S39" s="7"/>
    </row>
    <row r="40" spans="1:34">
      <c r="B40" s="44"/>
      <c r="C40" s="45"/>
      <c r="D40" s="55"/>
      <c r="E40" s="55"/>
      <c r="F40" s="56"/>
      <c r="G40" s="11"/>
      <c r="H40" s="13"/>
      <c r="I40" s="21"/>
      <c r="J40" s="206"/>
      <c r="L40" s="6"/>
      <c r="M40" s="2"/>
      <c r="O40" s="2"/>
      <c r="Q40" s="2"/>
      <c r="R40" s="2"/>
      <c r="S40" s="7"/>
    </row>
    <row r="41" spans="1:34">
      <c r="B41" s="44"/>
      <c r="C41" s="45"/>
      <c r="D41" s="55"/>
      <c r="E41" s="55"/>
      <c r="F41" s="56"/>
      <c r="G41" s="11"/>
      <c r="H41" s="13"/>
      <c r="I41" s="21"/>
      <c r="J41" s="206"/>
      <c r="L41" s="6"/>
      <c r="M41" s="2"/>
      <c r="O41" s="2"/>
      <c r="Q41" s="2"/>
      <c r="R41" s="2"/>
      <c r="S41" s="7"/>
    </row>
    <row r="42" spans="1:34">
      <c r="B42" s="44"/>
      <c r="C42" s="45"/>
      <c r="D42" s="55"/>
      <c r="E42" s="55"/>
      <c r="F42" s="56"/>
      <c r="G42" s="11"/>
      <c r="H42" s="13"/>
      <c r="I42" s="21"/>
      <c r="J42" s="206"/>
      <c r="L42" s="6"/>
      <c r="M42" s="2"/>
      <c r="O42" s="2"/>
      <c r="Q42" s="2"/>
      <c r="R42" s="2"/>
      <c r="S42" s="7"/>
    </row>
    <row r="43" spans="1:34">
      <c r="B43" s="44"/>
      <c r="C43" s="45"/>
      <c r="D43" s="55"/>
      <c r="E43" s="55"/>
      <c r="F43" s="56"/>
      <c r="G43" s="11"/>
      <c r="H43" s="13"/>
      <c r="I43" s="21"/>
      <c r="J43" s="206"/>
      <c r="L43" s="6"/>
      <c r="M43" s="2"/>
      <c r="O43" s="2"/>
      <c r="Q43" s="2"/>
      <c r="R43" s="2"/>
      <c r="S43" s="7"/>
    </row>
    <row r="44" spans="1:34">
      <c r="B44" s="44"/>
      <c r="C44" s="45"/>
      <c r="D44" s="55"/>
      <c r="E44" s="55"/>
      <c r="F44" s="56"/>
      <c r="G44" s="11"/>
      <c r="H44" s="13"/>
      <c r="I44" s="21"/>
      <c r="J44" s="206"/>
      <c r="L44" s="6"/>
      <c r="M44" s="2"/>
      <c r="O44" s="2"/>
      <c r="Q44" s="2"/>
      <c r="R44" s="2"/>
      <c r="S44" s="7"/>
    </row>
    <row r="45" spans="1:34">
      <c r="B45" s="44"/>
      <c r="C45" s="45"/>
      <c r="D45" s="55"/>
      <c r="E45" s="55"/>
      <c r="F45" s="56"/>
      <c r="G45" s="11"/>
      <c r="H45" s="13"/>
      <c r="I45" s="21"/>
      <c r="J45" s="206"/>
      <c r="L45" s="6"/>
      <c r="M45" s="2"/>
      <c r="O45" s="2"/>
      <c r="Q45" s="2"/>
      <c r="R45" s="2"/>
      <c r="S45" s="7"/>
    </row>
    <row r="46" spans="1:34">
      <c r="B46" s="44"/>
      <c r="C46" s="45"/>
      <c r="D46" s="55"/>
      <c r="E46" s="55"/>
      <c r="F46" s="56"/>
      <c r="G46" s="11"/>
      <c r="H46" s="13"/>
      <c r="I46" s="21"/>
      <c r="J46" s="206"/>
      <c r="L46" s="6"/>
      <c r="M46" s="2"/>
      <c r="O46" s="2"/>
      <c r="Q46" s="2"/>
      <c r="R46" s="2"/>
      <c r="S46" s="7"/>
    </row>
    <row r="47" spans="1:34">
      <c r="B47" s="44"/>
      <c r="C47" s="45"/>
      <c r="D47" s="55"/>
      <c r="E47" s="55"/>
      <c r="F47" s="56"/>
      <c r="G47" s="11"/>
      <c r="H47" s="13"/>
      <c r="I47" s="21"/>
      <c r="J47" s="206"/>
      <c r="L47" s="6"/>
      <c r="M47" s="2"/>
      <c r="O47" s="2"/>
      <c r="Q47" s="2"/>
      <c r="R47" s="2"/>
      <c r="S47" s="7"/>
    </row>
    <row r="48" spans="1:34">
      <c r="B48" s="44"/>
      <c r="C48" s="45"/>
      <c r="D48" s="55"/>
      <c r="E48" s="55"/>
      <c r="F48" s="56"/>
      <c r="G48" s="11"/>
      <c r="H48" s="13"/>
      <c r="I48" s="21"/>
      <c r="J48" s="206"/>
      <c r="L48" s="6"/>
      <c r="M48" s="2"/>
      <c r="O48" s="2"/>
      <c r="Q48" s="2"/>
      <c r="R48" s="2"/>
      <c r="S48" s="7"/>
    </row>
    <row r="49" spans="2:19">
      <c r="B49" s="44"/>
      <c r="C49" s="45"/>
      <c r="D49" s="55"/>
      <c r="E49" s="55"/>
      <c r="F49" s="56"/>
      <c r="G49" s="11"/>
      <c r="H49" s="13"/>
      <c r="I49" s="21"/>
      <c r="J49" s="206"/>
      <c r="L49" s="6"/>
      <c r="M49" s="2"/>
      <c r="O49" s="2"/>
      <c r="Q49" s="2"/>
      <c r="R49" s="2"/>
      <c r="S49" s="7"/>
    </row>
    <row r="50" spans="2:19">
      <c r="B50" s="44"/>
      <c r="C50" s="45"/>
      <c r="D50" s="55"/>
      <c r="E50" s="55"/>
      <c r="F50" s="56"/>
      <c r="G50" s="11"/>
      <c r="H50" s="13"/>
      <c r="I50" s="21"/>
      <c r="J50" s="206"/>
      <c r="L50" s="6"/>
      <c r="M50" s="2"/>
      <c r="O50" s="2"/>
      <c r="Q50" s="2"/>
      <c r="R50" s="2"/>
      <c r="S50" s="7"/>
    </row>
    <row r="51" spans="2:19">
      <c r="B51" s="44"/>
      <c r="C51" s="45"/>
      <c r="D51" s="55"/>
      <c r="E51" s="55"/>
      <c r="F51" s="56"/>
      <c r="G51" s="11"/>
      <c r="H51" s="13"/>
      <c r="I51" s="21"/>
      <c r="J51" s="206"/>
      <c r="L51" s="6"/>
      <c r="M51" s="2"/>
      <c r="O51" s="2"/>
      <c r="Q51" s="2"/>
      <c r="R51" s="2"/>
      <c r="S51" s="7"/>
    </row>
    <row r="52" spans="2:19">
      <c r="B52" s="44"/>
      <c r="C52" s="45"/>
      <c r="D52" s="55"/>
      <c r="E52" s="55"/>
      <c r="F52" s="56"/>
      <c r="G52" s="11"/>
      <c r="H52" s="13"/>
      <c r="I52" s="21"/>
      <c r="J52" s="206"/>
      <c r="L52" s="6"/>
      <c r="M52" s="2"/>
      <c r="O52" s="2"/>
      <c r="Q52" s="2"/>
      <c r="R52" s="2"/>
      <c r="S52" s="7"/>
    </row>
    <row r="53" spans="2:19">
      <c r="B53" s="44"/>
      <c r="C53" s="45"/>
      <c r="D53" s="55"/>
      <c r="E53" s="55"/>
      <c r="F53" s="56"/>
      <c r="G53" s="11"/>
      <c r="H53" s="13"/>
      <c r="I53" s="21"/>
      <c r="J53" s="206"/>
      <c r="L53" s="6"/>
      <c r="M53" s="2"/>
      <c r="O53" s="2"/>
      <c r="Q53" s="2"/>
      <c r="R53" s="2"/>
      <c r="S53" s="7"/>
    </row>
    <row r="54" spans="2:19">
      <c r="B54" s="44"/>
      <c r="C54" s="45"/>
      <c r="D54" s="55"/>
      <c r="E54" s="55"/>
      <c r="F54" s="56"/>
      <c r="G54" s="11"/>
      <c r="H54" s="13"/>
      <c r="I54" s="21"/>
      <c r="J54" s="206"/>
      <c r="L54" s="6"/>
      <c r="M54" s="2"/>
      <c r="O54" s="2"/>
      <c r="Q54" s="2"/>
      <c r="R54" s="2"/>
      <c r="S54" s="7"/>
    </row>
    <row r="55" spans="2:19">
      <c r="B55" s="57"/>
      <c r="C55" s="45"/>
      <c r="D55" s="55"/>
      <c r="E55" s="55"/>
      <c r="F55" s="56"/>
      <c r="G55" s="11"/>
      <c r="H55" s="13"/>
      <c r="I55" s="21"/>
      <c r="J55" s="206"/>
      <c r="L55" s="6"/>
      <c r="M55" s="2"/>
      <c r="O55" s="2"/>
      <c r="Q55" s="2"/>
      <c r="R55" s="2"/>
      <c r="S55" s="7"/>
    </row>
    <row r="56" spans="2:19">
      <c r="B56" s="203"/>
      <c r="C56" s="45"/>
      <c r="D56" s="29"/>
      <c r="E56" s="204"/>
      <c r="F56" s="205"/>
      <c r="G56" s="11"/>
      <c r="H56" s="13"/>
      <c r="I56" s="21"/>
      <c r="J56" s="13"/>
      <c r="L56" s="6"/>
      <c r="M56" s="2"/>
      <c r="O56" s="2"/>
      <c r="Q56" s="2"/>
      <c r="R56" s="2"/>
      <c r="S56" s="7"/>
    </row>
    <row r="57" spans="2:19">
      <c r="B57" s="203"/>
      <c r="C57" s="29"/>
      <c r="D57" s="29"/>
      <c r="E57" s="204"/>
      <c r="F57" s="205"/>
      <c r="G57" s="11"/>
      <c r="H57" s="13"/>
      <c r="I57" s="21"/>
      <c r="J57" s="13"/>
      <c r="L57" s="6"/>
      <c r="M57" s="2"/>
      <c r="O57" s="2"/>
      <c r="Q57" s="2"/>
      <c r="R57" s="2"/>
      <c r="S57" s="7"/>
    </row>
    <row r="58" spans="2:19">
      <c r="B58" s="6"/>
      <c r="F58" s="7"/>
      <c r="G58" s="11"/>
      <c r="H58" s="13"/>
      <c r="I58" s="21"/>
      <c r="J58" s="13"/>
      <c r="L58" s="6"/>
      <c r="M58" s="2"/>
      <c r="O58" s="2"/>
      <c r="Q58" s="2"/>
      <c r="R58" s="2"/>
      <c r="S58" s="7"/>
    </row>
    <row r="59" spans="2:19" ht="16" thickBot="1">
      <c r="B59" s="6"/>
      <c r="F59" s="7"/>
      <c r="G59" s="11"/>
      <c r="H59" s="13"/>
      <c r="I59" s="21"/>
      <c r="J59" s="47">
        <f>SUM(J9:J58)</f>
        <v>967750</v>
      </c>
      <c r="L59" s="47">
        <f>SUM(L9:L58)</f>
        <v>656765.16853932582</v>
      </c>
      <c r="M59" s="47">
        <f t="shared" ref="M59:S59" si="1">SUM(M9:M58)</f>
        <v>310984.83146067418</v>
      </c>
      <c r="N59" s="47">
        <f t="shared" si="1"/>
        <v>0</v>
      </c>
      <c r="O59" s="47">
        <f t="shared" si="1"/>
        <v>0</v>
      </c>
      <c r="P59" s="47">
        <f t="shared" si="1"/>
        <v>0</v>
      </c>
      <c r="Q59" s="47">
        <f t="shared" si="1"/>
        <v>0</v>
      </c>
      <c r="R59" s="47">
        <f t="shared" si="1"/>
        <v>0</v>
      </c>
      <c r="S59" s="47">
        <f t="shared" si="1"/>
        <v>0</v>
      </c>
    </row>
    <row r="60" spans="2:19">
      <c r="B60" s="8"/>
      <c r="C60" s="9"/>
      <c r="D60" s="9"/>
      <c r="E60" s="9"/>
      <c r="F60" s="10"/>
      <c r="G60" s="14"/>
      <c r="H60" s="15"/>
      <c r="I60" s="23"/>
      <c r="J60" s="15"/>
      <c r="L60" s="8"/>
      <c r="M60" s="63"/>
      <c r="N60" s="9"/>
      <c r="O60" s="63"/>
      <c r="P60" s="9"/>
      <c r="Q60" s="63"/>
      <c r="R60" s="63"/>
      <c r="S60" s="10"/>
    </row>
  </sheetData>
  <mergeCells count="19">
    <mergeCell ref="H2:I2"/>
    <mergeCell ref="J5:J8"/>
    <mergeCell ref="AA5:AH5"/>
    <mergeCell ref="AA6:AE6"/>
    <mergeCell ref="AF6:AF7"/>
    <mergeCell ref="AG6:AG7"/>
    <mergeCell ref="AH6:AH7"/>
    <mergeCell ref="L5:S5"/>
    <mergeCell ref="Q6:Q7"/>
    <mergeCell ref="R6:R7"/>
    <mergeCell ref="S6:S7"/>
    <mergeCell ref="L6:M6"/>
    <mergeCell ref="N6:O6"/>
    <mergeCell ref="P6:P7"/>
    <mergeCell ref="A5:A8"/>
    <mergeCell ref="B5:F8"/>
    <mergeCell ref="G5:G8"/>
    <mergeCell ref="H5:H8"/>
    <mergeCell ref="I5:I8"/>
  </mergeCells>
  <printOptions horizontalCentered="1"/>
  <pageMargins left="0.261811024" right="0.511811023622047" top="0.55118110236220497" bottom="0.55118110236220497" header="0.31496062992126" footer="0.31496062992126"/>
  <pageSetup paperSize="9" scale="33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9C5F4-1C0F-1D45-A9CE-1F3EC415125C}">
  <sheetPr>
    <tabColor theme="6" tint="0.39997558519241921"/>
    <pageSetUpPr fitToPage="1"/>
  </sheetPr>
  <dimension ref="A1:AH56"/>
  <sheetViews>
    <sheetView workbookViewId="0">
      <selection activeCell="G36" sqref="G36"/>
    </sheetView>
  </sheetViews>
  <sheetFormatPr baseColWidth="10" defaultColWidth="8.83203125" defaultRowHeight="15"/>
  <cols>
    <col min="1" max="1" width="4" customWidth="1"/>
    <col min="6" max="6" width="12.1640625" customWidth="1"/>
    <col min="7" max="7" width="10.1640625" bestFit="1" customWidth="1"/>
    <col min="8" max="8" width="6.5" customWidth="1"/>
    <col min="9" max="9" width="10.33203125" customWidth="1"/>
    <col min="10" max="10" width="13" customWidth="1"/>
    <col min="11" max="11" width="1.83203125" customWidth="1"/>
    <col min="12" max="12" width="13.6640625" hidden="1" customWidth="1"/>
    <col min="13" max="13" width="14.1640625" hidden="1" customWidth="1"/>
    <col min="14" max="14" width="14" hidden="1" customWidth="1"/>
    <col min="15" max="19" width="11.6640625" hidden="1" customWidth="1"/>
    <col min="21" max="25" width="13" customWidth="1"/>
    <col min="26" max="26" width="3" customWidth="1"/>
    <col min="27" max="34" width="12.6640625" hidden="1" customWidth="1"/>
  </cols>
  <sheetData>
    <row r="1" spans="1:34" s="1" customFormat="1"/>
    <row r="2" spans="1:34" s="1" customFormat="1" ht="15" customHeight="1">
      <c r="B2" s="1" t="str">
        <f>'Breakdown Summary'!B2</f>
        <v>Trows Farm, Castleton</v>
      </c>
      <c r="G2" s="1" t="str">
        <f>'Breakdown Summary'!G2</f>
        <v>Date</v>
      </c>
      <c r="H2" s="1045">
        <f>'Breakdown Summary'!H2</f>
        <v>45453</v>
      </c>
      <c r="I2" s="1045"/>
      <c r="J2" s="1" t="str">
        <f>'Breakdown Summary'!J2</f>
        <v>Ver - 6</v>
      </c>
      <c r="S2" s="49"/>
      <c r="AH2" s="49"/>
    </row>
    <row r="3" spans="1:34" s="1" customFormat="1">
      <c r="B3" s="1" t="str">
        <f>'Breakdown Summary'!B3</f>
        <v>Cowm Top Lane, Rochdale</v>
      </c>
      <c r="G3" s="1" t="str">
        <f>'Breakdown Summary'!H3</f>
        <v>Breakdown of Abnormal Costs</v>
      </c>
    </row>
    <row r="4" spans="1:34" s="1" customFormat="1" ht="15.75" customHeight="1"/>
    <row r="5" spans="1:34" s="1" customFormat="1" ht="15" customHeight="1">
      <c r="A5" s="1046" t="s">
        <v>0</v>
      </c>
      <c r="B5" s="1054" t="s">
        <v>1</v>
      </c>
      <c r="C5" s="1055"/>
      <c r="D5" s="1055"/>
      <c r="E5" s="1055"/>
      <c r="F5" s="1056"/>
      <c r="G5" s="1046" t="s">
        <v>6</v>
      </c>
      <c r="H5" s="1046" t="s">
        <v>5</v>
      </c>
      <c r="I5" s="1046" t="s">
        <v>2</v>
      </c>
      <c r="J5" s="1046" t="s">
        <v>3</v>
      </c>
      <c r="L5" s="1124" t="str">
        <f>'Breakdown Summary'!L5:S5</f>
        <v>Phasing Breakdown</v>
      </c>
      <c r="M5" s="1125"/>
      <c r="N5" s="1125"/>
      <c r="O5" s="1125"/>
      <c r="P5" s="1125"/>
      <c r="Q5" s="1125"/>
      <c r="R5" s="1125"/>
      <c r="S5" s="1126"/>
      <c r="U5" s="195"/>
      <c r="V5" s="195"/>
      <c r="W5" s="195"/>
      <c r="X5" s="195"/>
      <c r="Y5" s="195"/>
      <c r="AA5" s="1124" t="s">
        <v>17</v>
      </c>
      <c r="AB5" s="1125"/>
      <c r="AC5" s="1125"/>
      <c r="AD5" s="1125"/>
      <c r="AE5" s="1125"/>
      <c r="AF5" s="1125"/>
      <c r="AG5" s="1125"/>
      <c r="AH5" s="1126"/>
    </row>
    <row r="6" spans="1:34" s="1" customFormat="1" ht="14" customHeight="1">
      <c r="A6" s="1047"/>
      <c r="B6" s="1057"/>
      <c r="C6" s="1058"/>
      <c r="D6" s="1058"/>
      <c r="E6" s="1058"/>
      <c r="F6" s="1059"/>
      <c r="G6" s="1047"/>
      <c r="H6" s="1047"/>
      <c r="I6" s="1047"/>
      <c r="J6" s="1047"/>
      <c r="L6" s="1127" t="str">
        <f>'Breakdown Summary'!L6</f>
        <v>Site 1</v>
      </c>
      <c r="M6" s="1128"/>
      <c r="N6" s="1127">
        <f>'Breakdown Summary'!N6</f>
        <v>0</v>
      </c>
      <c r="O6" s="1128"/>
      <c r="P6" s="1063">
        <f>'Breakdown Summary'!P6:P7</f>
        <v>0</v>
      </c>
      <c r="Q6" s="1063">
        <f>'Breakdown Summary'!Q6:Q7</f>
        <v>0</v>
      </c>
      <c r="R6" s="1063">
        <f>'Breakdown Summary'!R6:R7</f>
        <v>0</v>
      </c>
      <c r="S6" s="1063">
        <f>'Breakdown Summary'!S6:S7</f>
        <v>0</v>
      </c>
      <c r="U6" s="195"/>
      <c r="V6" s="195"/>
      <c r="W6" s="195"/>
      <c r="X6" s="195"/>
      <c r="Y6" s="195"/>
      <c r="AA6" s="1127" t="s">
        <v>15</v>
      </c>
      <c r="AB6" s="1140"/>
      <c r="AC6" s="1140"/>
      <c r="AD6" s="1140"/>
      <c r="AE6" s="1128"/>
      <c r="AF6" s="1063" t="s">
        <v>12</v>
      </c>
      <c r="AG6" s="1063" t="s">
        <v>13</v>
      </c>
      <c r="AH6" s="1063" t="s">
        <v>14</v>
      </c>
    </row>
    <row r="7" spans="1:34">
      <c r="A7" s="1047"/>
      <c r="B7" s="1057"/>
      <c r="C7" s="1058"/>
      <c r="D7" s="1058"/>
      <c r="E7" s="1058"/>
      <c r="F7" s="1059"/>
      <c r="G7" s="1047"/>
      <c r="H7" s="1047"/>
      <c r="I7" s="1047"/>
      <c r="J7" s="1047"/>
      <c r="L7" s="59" t="str">
        <f>'Breakdown Summary'!L7</f>
        <v>Barratt</v>
      </c>
      <c r="M7" s="59" t="str">
        <f>'Breakdown Summary'!M7</f>
        <v>David Wilson</v>
      </c>
      <c r="N7" s="59" t="str">
        <f>'Breakdown Summary'!N7</f>
        <v>Phs</v>
      </c>
      <c r="O7" s="59" t="str">
        <f>'Breakdown Summary'!O7</f>
        <v>Phs</v>
      </c>
      <c r="P7" s="1065"/>
      <c r="Q7" s="1065"/>
      <c r="R7" s="1065"/>
      <c r="S7" s="1065"/>
      <c r="U7" s="195"/>
      <c r="V7" s="195"/>
      <c r="W7" s="195"/>
      <c r="X7" s="195"/>
      <c r="Y7" s="195"/>
      <c r="AA7" s="59">
        <v>1</v>
      </c>
      <c r="AB7" s="59">
        <v>2</v>
      </c>
      <c r="AC7" s="59">
        <v>3</v>
      </c>
      <c r="AD7" s="59">
        <v>4</v>
      </c>
      <c r="AE7" s="59">
        <v>5</v>
      </c>
      <c r="AF7" s="1065"/>
      <c r="AG7" s="1065"/>
      <c r="AH7" s="1065"/>
    </row>
    <row r="8" spans="1:34" s="1" customFormat="1">
      <c r="A8" s="1048"/>
      <c r="B8" s="1060"/>
      <c r="C8" s="1061"/>
      <c r="D8" s="1061"/>
      <c r="E8" s="1061"/>
      <c r="F8" s="1062"/>
      <c r="G8" s="1048"/>
      <c r="H8" s="1048"/>
      <c r="I8" s="1048"/>
      <c r="J8" s="1048"/>
      <c r="L8" s="242">
        <f>'Breakdown Summary'!L13</f>
        <v>19.11</v>
      </c>
      <c r="M8" s="242">
        <f>'Breakdown Summary'!M13</f>
        <v>10.009886307464162</v>
      </c>
      <c r="N8" s="242">
        <f>'Breakdown Summary'!N13</f>
        <v>0</v>
      </c>
      <c r="O8" s="242">
        <f>'Breakdown Summary'!O13</f>
        <v>0</v>
      </c>
      <c r="P8" s="62">
        <f>'Breakdown Summary'!P13</f>
        <v>0</v>
      </c>
      <c r="Q8" s="60"/>
      <c r="R8" s="61"/>
      <c r="S8" s="61"/>
      <c r="U8" s="195"/>
      <c r="V8" s="195"/>
      <c r="W8" s="195"/>
      <c r="X8" s="195"/>
      <c r="Y8" s="195"/>
      <c r="AA8" s="62">
        <v>1</v>
      </c>
      <c r="AB8" s="62">
        <v>0</v>
      </c>
      <c r="AC8" s="62">
        <v>0</v>
      </c>
      <c r="AD8" s="62">
        <v>0</v>
      </c>
      <c r="AE8" s="62">
        <v>0</v>
      </c>
      <c r="AF8" s="60">
        <v>0</v>
      </c>
      <c r="AG8" s="61">
        <v>0</v>
      </c>
      <c r="AH8" s="61">
        <v>0</v>
      </c>
    </row>
    <row r="9" spans="1:34">
      <c r="A9" s="16"/>
      <c r="B9" s="3"/>
      <c r="C9" s="4"/>
      <c r="D9" s="4"/>
      <c r="E9" s="4"/>
      <c r="F9" s="5"/>
      <c r="G9" s="11"/>
      <c r="H9" s="12"/>
      <c r="I9" s="21"/>
      <c r="J9" s="12"/>
      <c r="L9" s="3">
        <f>'Dwelling Mix'!P90</f>
        <v>302</v>
      </c>
      <c r="M9" s="58">
        <f>'Dwelling Mix'!S90</f>
        <v>143</v>
      </c>
      <c r="N9" s="4">
        <f>'Dwelling Mix'!V90</f>
        <v>0</v>
      </c>
      <c r="O9" s="58">
        <f>'Dwelling Mix'!Y90</f>
        <v>0</v>
      </c>
      <c r="P9" s="4"/>
      <c r="Q9" s="58"/>
      <c r="R9" s="58"/>
      <c r="S9" s="5"/>
      <c r="U9" s="21"/>
      <c r="V9" s="21"/>
      <c r="W9" s="21"/>
      <c r="X9" s="21"/>
      <c r="Y9" s="21"/>
      <c r="AA9" s="3"/>
      <c r="AB9" s="58"/>
      <c r="AC9" s="4"/>
      <c r="AD9" s="58"/>
      <c r="AE9" s="4"/>
      <c r="AF9" s="58"/>
      <c r="AG9" s="58"/>
      <c r="AH9" s="5"/>
    </row>
    <row r="10" spans="1:34">
      <c r="A10" s="19">
        <v>12</v>
      </c>
      <c r="B10" s="20" t="s">
        <v>654</v>
      </c>
      <c r="F10" s="7"/>
      <c r="G10" s="11"/>
      <c r="H10" s="13"/>
      <c r="I10" s="21"/>
      <c r="J10" s="13"/>
      <c r="L10" s="6"/>
      <c r="M10" s="2"/>
      <c r="O10" s="2"/>
      <c r="Q10" s="2"/>
      <c r="R10" s="2"/>
      <c r="S10" s="7"/>
      <c r="U10" s="13"/>
      <c r="V10" s="13"/>
      <c r="W10" s="13"/>
      <c r="X10" s="13"/>
      <c r="Y10" s="13"/>
      <c r="Z10" s="50"/>
      <c r="AA10" s="6"/>
      <c r="AB10" s="2"/>
      <c r="AD10" s="2"/>
      <c r="AF10" s="2"/>
      <c r="AG10" s="2"/>
      <c r="AH10" s="7"/>
    </row>
    <row r="11" spans="1:34">
      <c r="A11" s="19"/>
      <c r="B11" s="20"/>
      <c r="F11" s="7"/>
      <c r="G11" s="11"/>
      <c r="H11" s="13"/>
      <c r="I11" s="21"/>
      <c r="J11" s="13"/>
      <c r="L11" s="6"/>
      <c r="M11" s="2"/>
      <c r="O11" s="2"/>
      <c r="Q11" s="2"/>
      <c r="R11" s="2"/>
      <c r="S11" s="7"/>
      <c r="U11" s="21"/>
      <c r="V11" s="21"/>
      <c r="W11" s="21"/>
      <c r="X11" s="21"/>
      <c r="Y11" s="21"/>
      <c r="AA11" s="6"/>
      <c r="AB11" s="2"/>
      <c r="AD11" s="2"/>
      <c r="AF11" s="2"/>
      <c r="AG11" s="2"/>
      <c r="AH11" s="7"/>
    </row>
    <row r="12" spans="1:34">
      <c r="A12" s="17"/>
      <c r="B12" s="20"/>
      <c r="C12" t="s">
        <v>691</v>
      </c>
      <c r="F12" s="7"/>
      <c r="G12" s="11">
        <v>630</v>
      </c>
      <c r="H12" s="13" t="s">
        <v>4</v>
      </c>
      <c r="I12" s="21">
        <v>113.26</v>
      </c>
      <c r="J12" s="13">
        <f>G12*I12</f>
        <v>71353.8</v>
      </c>
      <c r="L12" s="64">
        <f>J12</f>
        <v>71353.8</v>
      </c>
      <c r="M12" s="2"/>
      <c r="N12" s="86"/>
      <c r="O12" s="649"/>
      <c r="Q12" s="2"/>
      <c r="R12" s="2"/>
      <c r="S12" s="7"/>
      <c r="U12" s="21"/>
      <c r="V12" s="21"/>
      <c r="W12" s="21"/>
      <c r="X12" s="21"/>
      <c r="Y12" s="21"/>
      <c r="AA12" s="6"/>
      <c r="AB12" s="2"/>
      <c r="AD12" s="2"/>
      <c r="AF12" s="2"/>
      <c r="AG12" s="2"/>
      <c r="AH12" s="7"/>
    </row>
    <row r="13" spans="1:34">
      <c r="A13" s="17"/>
      <c r="D13" s="30"/>
      <c r="E13" s="30"/>
      <c r="F13" s="31"/>
      <c r="G13" s="11"/>
      <c r="H13" s="13"/>
      <c r="I13" s="21"/>
      <c r="J13" s="13"/>
      <c r="L13" s="64">
        <f>J13</f>
        <v>0</v>
      </c>
      <c r="M13" s="2"/>
      <c r="O13" s="2"/>
      <c r="Q13" s="2"/>
      <c r="R13" s="2"/>
      <c r="S13" s="7"/>
      <c r="U13" s="21"/>
      <c r="V13" s="21"/>
      <c r="W13" s="21"/>
      <c r="X13" s="21"/>
      <c r="Y13" s="21"/>
      <c r="AA13" s="6"/>
      <c r="AB13" s="2"/>
      <c r="AD13" s="2"/>
      <c r="AF13" s="2"/>
      <c r="AG13" s="2"/>
      <c r="AH13" s="7"/>
    </row>
    <row r="14" spans="1:34">
      <c r="A14" s="17"/>
      <c r="D14" s="30"/>
      <c r="E14" s="30"/>
      <c r="F14" s="31"/>
      <c r="G14" s="11"/>
      <c r="H14" s="13"/>
      <c r="I14" s="21"/>
      <c r="J14" s="13"/>
      <c r="L14" s="64">
        <f>J14</f>
        <v>0</v>
      </c>
      <c r="M14" s="2"/>
      <c r="O14" s="2"/>
      <c r="Q14" s="2"/>
      <c r="R14" s="2"/>
      <c r="S14" s="7"/>
      <c r="U14" s="21"/>
      <c r="V14" s="21"/>
      <c r="W14" s="21"/>
      <c r="X14" s="21"/>
      <c r="Y14" s="21"/>
      <c r="AA14" s="6"/>
      <c r="AB14" s="2"/>
      <c r="AD14" s="2"/>
      <c r="AF14" s="2"/>
      <c r="AG14" s="2"/>
      <c r="AH14" s="7"/>
    </row>
    <row r="15" spans="1:34">
      <c r="A15" s="17"/>
      <c r="C15" t="s">
        <v>595</v>
      </c>
      <c r="D15" s="29"/>
      <c r="E15" s="30"/>
      <c r="F15" s="31"/>
      <c r="G15" s="11">
        <f>ROUNDUP('Dwelling Mix'!P90*0.3,0)</f>
        <v>91</v>
      </c>
      <c r="H15" s="13" t="s">
        <v>19</v>
      </c>
      <c r="I15" s="21">
        <v>950</v>
      </c>
      <c r="J15" s="13">
        <f>G15*I15</f>
        <v>86450</v>
      </c>
      <c r="L15" s="64">
        <f>J15</f>
        <v>86450</v>
      </c>
      <c r="M15" s="2"/>
      <c r="O15" s="2"/>
      <c r="Q15" s="2"/>
      <c r="R15" s="2"/>
      <c r="S15" s="7"/>
      <c r="U15" s="21"/>
      <c r="V15" s="21"/>
      <c r="W15" s="21"/>
      <c r="X15" s="21"/>
      <c r="Y15" s="21"/>
      <c r="AA15" s="6"/>
      <c r="AB15" s="2"/>
      <c r="AD15" s="2"/>
      <c r="AF15" s="2"/>
      <c r="AG15" s="2"/>
      <c r="AH15" s="7"/>
    </row>
    <row r="16" spans="1:34" ht="15" customHeight="1">
      <c r="A16" s="17"/>
      <c r="D16" s="30"/>
      <c r="E16" s="30"/>
      <c r="F16" s="31"/>
      <c r="G16" s="11"/>
      <c r="H16" s="13"/>
      <c r="I16" s="21"/>
      <c r="J16" s="13">
        <f>G16*I16</f>
        <v>0</v>
      </c>
      <c r="L16" s="6"/>
      <c r="M16" s="554">
        <f>J16</f>
        <v>0</v>
      </c>
      <c r="O16" s="2"/>
      <c r="Q16" s="2"/>
      <c r="R16" s="2"/>
      <c r="S16" s="7"/>
      <c r="U16" s="21"/>
      <c r="V16" s="21"/>
      <c r="W16" s="21"/>
      <c r="X16" s="21"/>
      <c r="Y16" s="21"/>
      <c r="AA16" s="6"/>
      <c r="AB16" s="2"/>
      <c r="AD16" s="2"/>
      <c r="AF16" s="2"/>
      <c r="AG16" s="2"/>
      <c r="AH16" s="7"/>
    </row>
    <row r="17" spans="1:34" ht="15" customHeight="1">
      <c r="A17" s="17"/>
      <c r="D17" s="30"/>
      <c r="E17" s="30"/>
      <c r="F17" s="31"/>
      <c r="G17" s="11"/>
      <c r="H17" s="13"/>
      <c r="I17" s="21"/>
      <c r="J17" s="13"/>
      <c r="L17" s="6"/>
      <c r="M17" s="554"/>
      <c r="O17" s="2"/>
      <c r="Q17" s="2"/>
      <c r="R17" s="2"/>
      <c r="S17" s="7"/>
      <c r="U17" s="21"/>
      <c r="V17" s="21"/>
      <c r="W17" s="21"/>
      <c r="X17" s="21"/>
      <c r="Y17" s="21"/>
      <c r="AA17" s="6"/>
      <c r="AB17" s="2"/>
      <c r="AD17" s="2"/>
      <c r="AF17" s="2"/>
      <c r="AG17" s="2"/>
      <c r="AH17" s="7"/>
    </row>
    <row r="18" spans="1:34" ht="15" customHeight="1">
      <c r="A18" s="17"/>
      <c r="D18" s="30"/>
      <c r="E18" s="30"/>
      <c r="F18" s="31"/>
      <c r="G18" s="11"/>
      <c r="H18" s="13"/>
      <c r="I18" s="21"/>
      <c r="J18" s="13"/>
      <c r="L18" s="6"/>
      <c r="M18" s="554"/>
      <c r="O18" s="2"/>
      <c r="Q18" s="2"/>
      <c r="R18" s="2"/>
      <c r="S18" s="7"/>
      <c r="U18" s="21"/>
      <c r="V18" s="21"/>
      <c r="W18" s="21"/>
      <c r="X18" s="21"/>
      <c r="Y18" s="21"/>
      <c r="AA18" s="6"/>
      <c r="AB18" s="2"/>
      <c r="AD18" s="2"/>
      <c r="AF18" s="2"/>
      <c r="AG18" s="2"/>
      <c r="AH18" s="7"/>
    </row>
    <row r="19" spans="1:34">
      <c r="A19" s="17"/>
      <c r="D19" s="30"/>
      <c r="E19" s="30"/>
      <c r="F19" s="31"/>
      <c r="G19" s="11"/>
      <c r="H19" s="13"/>
      <c r="I19" s="21"/>
      <c r="J19" s="13"/>
      <c r="L19" s="6"/>
      <c r="M19" s="2"/>
      <c r="O19" s="2"/>
      <c r="Q19" s="2"/>
      <c r="R19" s="2"/>
      <c r="S19" s="7"/>
      <c r="U19" s="21"/>
      <c r="V19" s="21"/>
      <c r="W19" s="21"/>
      <c r="X19" s="21"/>
      <c r="Y19" s="21"/>
      <c r="AA19" s="6"/>
      <c r="AB19" s="2"/>
      <c r="AD19" s="2"/>
      <c r="AF19" s="2"/>
      <c r="AG19" s="2"/>
      <c r="AH19" s="7"/>
    </row>
    <row r="20" spans="1:34">
      <c r="A20" s="17"/>
      <c r="D20" s="30"/>
      <c r="E20" s="30"/>
      <c r="F20" s="31"/>
      <c r="G20" s="11"/>
      <c r="H20" s="13"/>
      <c r="I20" s="21"/>
      <c r="J20" s="13"/>
      <c r="L20" s="6"/>
      <c r="M20" s="2"/>
      <c r="O20" s="2"/>
      <c r="Q20" s="2"/>
      <c r="R20" s="2"/>
      <c r="S20" s="7"/>
      <c r="U20" s="21"/>
      <c r="V20" s="21"/>
      <c r="W20" s="21"/>
      <c r="X20" s="21"/>
      <c r="Y20" s="21"/>
      <c r="AA20" s="6"/>
      <c r="AB20" s="2"/>
      <c r="AD20" s="2"/>
      <c r="AF20" s="2"/>
      <c r="AG20" s="2"/>
      <c r="AH20" s="7"/>
    </row>
    <row r="21" spans="1:34">
      <c r="A21" s="17"/>
      <c r="C21" t="s">
        <v>596</v>
      </c>
      <c r="D21" s="30"/>
      <c r="E21" s="30"/>
      <c r="F21" s="31"/>
      <c r="G21" s="11">
        <f>'Dwelling Mix'!AB90</f>
        <v>445</v>
      </c>
      <c r="H21" s="13" t="s">
        <v>19</v>
      </c>
      <c r="I21" s="21">
        <v>650</v>
      </c>
      <c r="J21" s="13">
        <f>G21*I21</f>
        <v>289250</v>
      </c>
      <c r="L21" s="644">
        <f>I21*'Dwelling Mix'!P$90</f>
        <v>196300</v>
      </c>
      <c r="M21" s="649">
        <f>I21*'Dwelling Mix'!S$90</f>
        <v>92950</v>
      </c>
      <c r="N21" s="68"/>
      <c r="O21" s="649"/>
      <c r="Q21" s="2"/>
      <c r="R21" s="2"/>
      <c r="S21" s="7"/>
      <c r="U21" s="21"/>
      <c r="V21" s="21"/>
      <c r="W21" s="21"/>
      <c r="X21" s="21"/>
      <c r="Y21" s="21"/>
      <c r="AA21" s="6"/>
      <c r="AB21" s="2"/>
      <c r="AD21" s="2"/>
      <c r="AF21" s="2"/>
      <c r="AG21" s="2"/>
      <c r="AH21" s="7"/>
    </row>
    <row r="22" spans="1:34">
      <c r="A22" s="17"/>
      <c r="D22" s="30"/>
      <c r="E22" s="30"/>
      <c r="F22" s="31"/>
      <c r="G22" s="11"/>
      <c r="H22" s="13"/>
      <c r="I22" s="21"/>
      <c r="J22" s="13"/>
      <c r="L22" s="6"/>
      <c r="M22" s="2"/>
      <c r="O22" s="2"/>
      <c r="Q22" s="2"/>
      <c r="R22" s="2"/>
      <c r="S22" s="7"/>
      <c r="U22" s="21"/>
      <c r="V22" s="21"/>
      <c r="W22" s="21"/>
      <c r="X22" s="21"/>
      <c r="Y22" s="21"/>
      <c r="AA22" s="6"/>
      <c r="AB22" s="2"/>
      <c r="AD22" s="2"/>
      <c r="AF22" s="2"/>
      <c r="AG22" s="2"/>
      <c r="AH22" s="7"/>
    </row>
    <row r="23" spans="1:34" hidden="1">
      <c r="A23" s="17"/>
      <c r="D23" s="30"/>
      <c r="E23" s="30"/>
      <c r="F23" s="31"/>
      <c r="G23" s="11"/>
      <c r="H23" s="13"/>
      <c r="I23" s="21"/>
      <c r="J23" s="13"/>
      <c r="L23" s="6"/>
      <c r="M23" s="2"/>
      <c r="O23" s="2"/>
      <c r="Q23" s="2"/>
      <c r="R23" s="2"/>
      <c r="S23" s="7"/>
      <c r="U23" s="21"/>
      <c r="V23" s="21"/>
      <c r="W23" s="21"/>
      <c r="X23" s="21"/>
      <c r="Y23" s="21"/>
      <c r="AA23" s="6"/>
      <c r="AB23" s="2"/>
      <c r="AD23" s="2"/>
      <c r="AG23" s="2"/>
      <c r="AH23" s="7"/>
    </row>
    <row r="24" spans="1:34" ht="16" hidden="1" thickBot="1">
      <c r="A24" s="17"/>
      <c r="C24" t="s">
        <v>597</v>
      </c>
      <c r="D24" s="30"/>
      <c r="E24" s="30"/>
      <c r="F24" s="31"/>
      <c r="G24" s="11">
        <v>0</v>
      </c>
      <c r="H24" s="13" t="s">
        <v>4</v>
      </c>
      <c r="I24" s="21">
        <v>45</v>
      </c>
      <c r="J24" s="13">
        <f>G24*I24</f>
        <v>0</v>
      </c>
      <c r="L24" s="644">
        <f>$J24/$G$21*L$9</f>
        <v>0</v>
      </c>
      <c r="M24" s="649">
        <f>$J24/$G$21*M$9</f>
        <v>0</v>
      </c>
      <c r="N24" s="68"/>
      <c r="O24" s="649"/>
      <c r="Q24" s="2"/>
      <c r="R24" s="2"/>
      <c r="S24" s="7"/>
      <c r="U24" s="65"/>
      <c r="V24" s="65"/>
      <c r="W24" s="65"/>
      <c r="X24" s="65"/>
      <c r="Y24" s="65"/>
      <c r="AA24" s="47">
        <f t="shared" ref="AA24:AH24" si="0">SUM(AA9:AA23)</f>
        <v>0</v>
      </c>
      <c r="AB24" s="47">
        <f t="shared" si="0"/>
        <v>0</v>
      </c>
      <c r="AC24" s="47">
        <f t="shared" si="0"/>
        <v>0</v>
      </c>
      <c r="AD24" s="47">
        <f t="shared" si="0"/>
        <v>0</v>
      </c>
      <c r="AE24" s="47">
        <f t="shared" si="0"/>
        <v>0</v>
      </c>
      <c r="AF24" s="47">
        <f t="shared" si="0"/>
        <v>0</v>
      </c>
      <c r="AG24" s="47">
        <f t="shared" si="0"/>
        <v>0</v>
      </c>
      <c r="AH24" s="47">
        <f t="shared" si="0"/>
        <v>0</v>
      </c>
    </row>
    <row r="25" spans="1:34" hidden="1">
      <c r="A25" s="17"/>
      <c r="C25" s="30"/>
      <c r="D25" s="30"/>
      <c r="E25" s="30"/>
      <c r="F25" s="31"/>
      <c r="G25" s="11"/>
      <c r="H25" s="13"/>
      <c r="I25" s="21"/>
      <c r="J25" s="13"/>
      <c r="L25" s="644"/>
      <c r="M25" s="649"/>
      <c r="N25" s="68"/>
      <c r="O25" s="649"/>
      <c r="Q25" s="2"/>
      <c r="R25" s="2"/>
      <c r="S25" s="7"/>
      <c r="U25" s="21"/>
      <c r="V25" s="21"/>
      <c r="W25" s="21"/>
      <c r="X25" s="21"/>
      <c r="Y25" s="21"/>
      <c r="AA25" s="63"/>
      <c r="AB25" s="9"/>
      <c r="AC25" s="63"/>
      <c r="AD25" s="9"/>
      <c r="AE25" s="63"/>
      <c r="AF25" s="9"/>
      <c r="AG25" s="63"/>
      <c r="AH25" s="63"/>
    </row>
    <row r="26" spans="1:34" hidden="1">
      <c r="A26" s="17"/>
      <c r="C26" t="s">
        <v>598</v>
      </c>
      <c r="D26" s="30"/>
      <c r="E26" s="30"/>
      <c r="F26" s="31"/>
      <c r="G26" s="11">
        <v>0</v>
      </c>
      <c r="H26" s="13" t="s">
        <v>4</v>
      </c>
      <c r="I26" s="21">
        <v>255</v>
      </c>
      <c r="J26" s="13">
        <f>G26*I26</f>
        <v>0</v>
      </c>
      <c r="L26" s="644">
        <f>$J26/$G$21*L$9</f>
        <v>0</v>
      </c>
      <c r="M26" s="649">
        <f>$J26/$G$21*M$9</f>
        <v>0</v>
      </c>
      <c r="N26" s="68"/>
      <c r="O26" s="649"/>
      <c r="Q26" s="2"/>
      <c r="R26" s="2"/>
      <c r="S26" s="7"/>
    </row>
    <row r="27" spans="1:34" hidden="1">
      <c r="A27" s="17"/>
      <c r="C27" s="30"/>
      <c r="D27" s="30"/>
      <c r="E27" s="30"/>
      <c r="F27" s="31"/>
      <c r="G27" s="11"/>
      <c r="H27" s="13"/>
      <c r="I27" s="21"/>
      <c r="J27" s="13"/>
      <c r="L27" s="644"/>
      <c r="M27" s="649"/>
      <c r="N27" s="68"/>
      <c r="O27" s="649"/>
      <c r="Q27" s="2"/>
      <c r="R27" s="2"/>
      <c r="S27" s="7"/>
    </row>
    <row r="28" spans="1:34">
      <c r="A28" s="17"/>
      <c r="D28" s="30"/>
      <c r="E28" s="30"/>
      <c r="F28" s="31"/>
      <c r="G28" s="11"/>
      <c r="H28" s="13"/>
      <c r="I28" s="21"/>
      <c r="J28" s="13"/>
      <c r="L28" s="6"/>
      <c r="M28" s="2"/>
      <c r="O28" s="2"/>
      <c r="Q28" s="2"/>
      <c r="R28" s="2"/>
      <c r="S28" s="7"/>
    </row>
    <row r="29" spans="1:34">
      <c r="A29" s="17"/>
      <c r="C29" s="29" t="s">
        <v>655</v>
      </c>
      <c r="D29" s="30"/>
      <c r="E29" s="30"/>
      <c r="F29" s="31"/>
      <c r="G29" s="11"/>
      <c r="H29" s="13"/>
      <c r="I29" s="21"/>
      <c r="J29" s="13"/>
      <c r="L29" s="6"/>
      <c r="M29" s="2"/>
      <c r="O29" s="2"/>
      <c r="Q29" s="2"/>
      <c r="R29" s="2"/>
      <c r="S29" s="7"/>
    </row>
    <row r="30" spans="1:34">
      <c r="A30" s="17"/>
      <c r="D30" s="29" t="s">
        <v>941</v>
      </c>
      <c r="E30" s="30"/>
      <c r="F30" s="31"/>
      <c r="G30" s="11"/>
      <c r="H30" s="13" t="s">
        <v>19</v>
      </c>
      <c r="I30" s="21"/>
      <c r="J30" s="13">
        <f>G30*I30</f>
        <v>0</v>
      </c>
      <c r="L30" s="644">
        <f>I30*'Dwelling Mix'!P$90</f>
        <v>0</v>
      </c>
      <c r="M30" s="649">
        <f>I30*'Dwelling Mix'!S$90</f>
        <v>0</v>
      </c>
      <c r="O30" s="2"/>
      <c r="Q30" s="2"/>
      <c r="R30" s="2"/>
      <c r="S30" s="7"/>
      <c r="U30" s="21"/>
      <c r="V30" s="21"/>
      <c r="W30" s="21"/>
      <c r="X30" s="21"/>
      <c r="Y30" s="21"/>
      <c r="AA30" s="6"/>
      <c r="AB30" s="2"/>
      <c r="AD30" s="2"/>
      <c r="AF30" s="2"/>
      <c r="AG30" s="2"/>
      <c r="AH30" s="7"/>
    </row>
    <row r="31" spans="1:34" ht="15" customHeight="1">
      <c r="A31" s="17"/>
      <c r="D31" s="30"/>
      <c r="E31" s="30"/>
      <c r="F31" s="31"/>
      <c r="G31" s="11"/>
      <c r="H31" s="13"/>
      <c r="I31" s="21"/>
      <c r="J31" s="13">
        <f>G31*I31</f>
        <v>0</v>
      </c>
      <c r="L31" s="6"/>
      <c r="M31" s="554">
        <f>J31</f>
        <v>0</v>
      </c>
      <c r="O31" s="2"/>
      <c r="Q31" s="2"/>
      <c r="R31" s="2"/>
      <c r="S31" s="7"/>
      <c r="U31" s="21"/>
      <c r="V31" s="21"/>
      <c r="W31" s="21"/>
      <c r="X31" s="21"/>
      <c r="Y31" s="21"/>
      <c r="AA31" s="6"/>
      <c r="AB31" s="2"/>
      <c r="AD31" s="2"/>
      <c r="AF31" s="2"/>
      <c r="AG31" s="2"/>
      <c r="AH31" s="7"/>
    </row>
    <row r="32" spans="1:34">
      <c r="A32" s="17"/>
      <c r="D32" s="30"/>
      <c r="E32" s="30"/>
      <c r="F32" s="31"/>
      <c r="G32" s="11"/>
      <c r="H32" s="13"/>
      <c r="I32" s="21"/>
      <c r="J32" s="13"/>
      <c r="L32" s="6"/>
      <c r="M32" s="2"/>
      <c r="O32" s="2"/>
      <c r="Q32" s="2"/>
      <c r="R32" s="2"/>
      <c r="S32" s="7"/>
    </row>
    <row r="33" spans="1:34">
      <c r="A33" s="17"/>
      <c r="F33" s="7"/>
      <c r="G33" s="11"/>
      <c r="H33" s="13"/>
      <c r="I33" s="67"/>
      <c r="J33" s="13"/>
      <c r="L33" s="6"/>
      <c r="M33" s="2"/>
      <c r="O33" s="2"/>
      <c r="Q33" s="2"/>
      <c r="R33" s="2"/>
      <c r="S33" s="7"/>
    </row>
    <row r="34" spans="1:34">
      <c r="A34" s="17"/>
      <c r="C34" t="s">
        <v>656</v>
      </c>
      <c r="D34" s="30"/>
      <c r="E34" s="30"/>
      <c r="F34" s="31"/>
      <c r="G34" s="11"/>
      <c r="H34" s="13"/>
      <c r="I34" s="21"/>
      <c r="J34" s="13"/>
      <c r="L34" s="6"/>
      <c r="M34" s="2"/>
      <c r="O34" s="2"/>
      <c r="Q34" s="2"/>
      <c r="R34" s="2"/>
      <c r="S34" s="7"/>
    </row>
    <row r="35" spans="1:34">
      <c r="A35" s="17"/>
      <c r="D35" s="29" t="s">
        <v>669</v>
      </c>
      <c r="E35" s="30"/>
      <c r="F35" s="31"/>
      <c r="G35" s="11">
        <f>G21</f>
        <v>445</v>
      </c>
      <c r="H35" s="13" t="s">
        <v>19</v>
      </c>
      <c r="I35" s="21">
        <v>1250</v>
      </c>
      <c r="J35" s="13">
        <f>G35*I35</f>
        <v>556250</v>
      </c>
      <c r="L35" s="644"/>
      <c r="M35" s="649"/>
      <c r="O35" s="2"/>
      <c r="Q35" s="2"/>
      <c r="R35" s="2"/>
      <c r="S35" s="7"/>
      <c r="U35" s="21"/>
      <c r="V35" s="21"/>
      <c r="W35" s="21"/>
      <c r="X35" s="21"/>
      <c r="Y35" s="21"/>
      <c r="AA35" s="6"/>
      <c r="AB35" s="2"/>
      <c r="AD35" s="2"/>
      <c r="AF35" s="2"/>
      <c r="AG35" s="2"/>
      <c r="AH35" s="7"/>
    </row>
    <row r="36" spans="1:34" ht="15" customHeight="1">
      <c r="A36" s="17"/>
      <c r="D36" s="30"/>
      <c r="E36" s="30"/>
      <c r="F36" s="31"/>
      <c r="G36" s="11"/>
      <c r="H36" s="13"/>
      <c r="I36" s="21"/>
      <c r="J36" s="13">
        <f>G36*I36</f>
        <v>0</v>
      </c>
      <c r="L36" s="6"/>
      <c r="M36" s="554">
        <f>J36</f>
        <v>0</v>
      </c>
      <c r="O36" s="2"/>
      <c r="Q36" s="2"/>
      <c r="R36" s="2"/>
      <c r="S36" s="7"/>
      <c r="U36" s="21"/>
      <c r="V36" s="21"/>
      <c r="W36" s="21"/>
      <c r="X36" s="21"/>
      <c r="Y36" s="21"/>
      <c r="AA36" s="6"/>
      <c r="AB36" s="2"/>
      <c r="AD36" s="2"/>
      <c r="AF36" s="2"/>
      <c r="AG36" s="2"/>
      <c r="AH36" s="7"/>
    </row>
    <row r="37" spans="1:34">
      <c r="A37" s="17"/>
      <c r="D37" s="30"/>
      <c r="E37" s="30"/>
      <c r="F37" s="31"/>
      <c r="G37" s="11"/>
      <c r="H37" s="13"/>
      <c r="I37" s="21"/>
      <c r="J37" s="13"/>
      <c r="L37" s="6"/>
      <c r="M37" s="2"/>
      <c r="O37" s="2"/>
      <c r="Q37" s="2"/>
      <c r="R37" s="2"/>
      <c r="S37" s="7"/>
    </row>
    <row r="38" spans="1:34">
      <c r="A38" s="17"/>
      <c r="C38" t="s">
        <v>748</v>
      </c>
      <c r="D38" s="30"/>
      <c r="E38" s="30"/>
      <c r="F38" s="31"/>
      <c r="G38" s="11">
        <f>'Dwelling Mix'!AB90</f>
        <v>445</v>
      </c>
      <c r="H38" s="13" t="s">
        <v>19</v>
      </c>
      <c r="I38" s="21">
        <v>6500</v>
      </c>
      <c r="J38" s="13">
        <f>G38*I38</f>
        <v>2892500</v>
      </c>
      <c r="L38" s="644">
        <f>J38/G38*'B Regs Timetable'!D20</f>
        <v>1826500</v>
      </c>
      <c r="M38" s="649">
        <f>J38-L38</f>
        <v>1066000</v>
      </c>
      <c r="O38" s="2"/>
      <c r="Q38" s="2"/>
      <c r="R38" s="2"/>
      <c r="S38" s="7"/>
    </row>
    <row r="39" spans="1:34">
      <c r="A39" s="17"/>
      <c r="C39" s="30"/>
      <c r="D39" s="30"/>
      <c r="E39" s="30"/>
      <c r="F39" s="31"/>
      <c r="G39" s="11"/>
      <c r="H39" s="13"/>
      <c r="I39" s="21"/>
      <c r="J39" s="13"/>
      <c r="L39" s="6"/>
      <c r="M39" s="2"/>
      <c r="O39" s="2"/>
      <c r="Q39" s="2"/>
      <c r="R39" s="2"/>
      <c r="S39" s="7"/>
    </row>
    <row r="40" spans="1:34">
      <c r="A40" s="17"/>
      <c r="D40" s="30"/>
      <c r="E40" s="30"/>
      <c r="F40" s="31"/>
      <c r="G40" s="11"/>
      <c r="H40" s="13"/>
      <c r="I40" s="21"/>
      <c r="J40" s="13"/>
      <c r="L40" s="6"/>
      <c r="M40" s="2"/>
      <c r="O40" s="2"/>
      <c r="Q40" s="2"/>
      <c r="R40" s="2"/>
      <c r="S40" s="7"/>
    </row>
    <row r="41" spans="1:34">
      <c r="A41" s="17"/>
      <c r="C41" s="30"/>
      <c r="D41" s="30"/>
      <c r="E41" s="30"/>
      <c r="F41" s="31"/>
      <c r="G41" s="11"/>
      <c r="H41" s="13"/>
      <c r="I41" s="21"/>
      <c r="J41" s="13"/>
      <c r="L41" s="6"/>
      <c r="M41" s="2"/>
      <c r="O41" s="2"/>
      <c r="Q41" s="2"/>
      <c r="R41" s="2"/>
      <c r="S41" s="7"/>
    </row>
    <row r="42" spans="1:34">
      <c r="A42" s="17"/>
      <c r="D42" s="30"/>
      <c r="E42" s="30"/>
      <c r="F42" s="31"/>
      <c r="G42" s="11"/>
      <c r="H42" s="13"/>
      <c r="I42" s="21"/>
      <c r="J42" s="13"/>
      <c r="L42" s="6"/>
      <c r="M42" s="2"/>
      <c r="O42" s="2"/>
      <c r="Q42" s="2"/>
      <c r="R42" s="2"/>
      <c r="S42" s="7"/>
    </row>
    <row r="43" spans="1:34">
      <c r="A43" s="17"/>
      <c r="C43" s="30"/>
      <c r="D43" s="30"/>
      <c r="E43" s="30"/>
      <c r="F43" s="31"/>
      <c r="G43" s="11"/>
      <c r="H43" s="13"/>
      <c r="I43" s="21"/>
      <c r="J43" s="13"/>
      <c r="L43" s="6"/>
      <c r="M43" s="2"/>
      <c r="O43" s="2"/>
      <c r="Q43" s="2"/>
      <c r="R43" s="2"/>
      <c r="S43" s="7"/>
    </row>
    <row r="44" spans="1:34">
      <c r="A44" s="17"/>
      <c r="D44" s="30"/>
      <c r="E44" s="30"/>
      <c r="F44" s="31"/>
      <c r="G44" s="11"/>
      <c r="H44" s="13"/>
      <c r="I44" s="21"/>
      <c r="J44" s="13"/>
      <c r="L44" s="6"/>
      <c r="M44" s="2"/>
      <c r="O44" s="2"/>
      <c r="Q44" s="2"/>
      <c r="R44" s="2"/>
      <c r="S44" s="7"/>
    </row>
    <row r="45" spans="1:34">
      <c r="A45" s="17"/>
      <c r="C45" s="30"/>
      <c r="D45" s="30"/>
      <c r="E45" s="30"/>
      <c r="F45" s="31"/>
      <c r="G45" s="11"/>
      <c r="H45" s="13"/>
      <c r="I45" s="21"/>
      <c r="J45" s="13"/>
      <c r="L45" s="6"/>
      <c r="M45" s="2"/>
      <c r="O45" s="2"/>
      <c r="Q45" s="2"/>
      <c r="R45" s="2"/>
      <c r="S45" s="7"/>
    </row>
    <row r="46" spans="1:34">
      <c r="A46" s="17"/>
      <c r="D46" s="30"/>
      <c r="E46" s="30"/>
      <c r="F46" s="31"/>
      <c r="G46" s="11"/>
      <c r="H46" s="13"/>
      <c r="I46" s="21"/>
      <c r="J46" s="13"/>
      <c r="L46" s="6"/>
      <c r="M46" s="2"/>
      <c r="O46" s="2"/>
      <c r="Q46" s="2"/>
      <c r="R46" s="2"/>
      <c r="S46" s="7"/>
    </row>
    <row r="47" spans="1:34">
      <c r="A47" s="17"/>
      <c r="C47" s="30"/>
      <c r="D47" s="30"/>
      <c r="E47" s="30"/>
      <c r="F47" s="31"/>
      <c r="G47" s="11"/>
      <c r="H47" s="13"/>
      <c r="I47" s="21"/>
      <c r="J47" s="13"/>
      <c r="L47" s="6"/>
      <c r="M47" s="2"/>
      <c r="O47" s="2"/>
      <c r="Q47" s="2"/>
      <c r="R47" s="2"/>
      <c r="S47" s="7"/>
    </row>
    <row r="48" spans="1:34">
      <c r="A48" s="17"/>
      <c r="D48" s="30"/>
      <c r="E48" s="30"/>
      <c r="F48" s="31"/>
      <c r="G48" s="11"/>
      <c r="H48" s="13"/>
      <c r="I48" s="21"/>
      <c r="J48" s="13"/>
      <c r="L48" s="6"/>
      <c r="M48" s="2"/>
      <c r="O48" s="2"/>
      <c r="Q48" s="2"/>
      <c r="R48" s="2"/>
      <c r="S48" s="7"/>
    </row>
    <row r="49" spans="1:19">
      <c r="A49" s="17"/>
      <c r="F49" s="7"/>
      <c r="G49" s="11"/>
      <c r="H49" s="13"/>
      <c r="I49" s="67"/>
      <c r="J49" s="13"/>
      <c r="L49" s="6"/>
      <c r="M49" s="2"/>
      <c r="O49" s="2"/>
      <c r="Q49" s="2"/>
      <c r="R49" s="2"/>
      <c r="S49" s="7"/>
    </row>
    <row r="50" spans="1:19">
      <c r="A50" s="17"/>
      <c r="D50" s="30"/>
      <c r="E50" s="30"/>
      <c r="F50" s="31"/>
      <c r="G50" s="11"/>
      <c r="H50" s="13"/>
      <c r="I50" s="21"/>
      <c r="J50" s="13"/>
      <c r="L50" s="6"/>
      <c r="M50" s="2"/>
      <c r="O50" s="2"/>
      <c r="Q50" s="2"/>
      <c r="R50" s="2"/>
      <c r="S50" s="7"/>
    </row>
    <row r="51" spans="1:19">
      <c r="A51" s="17"/>
      <c r="F51" s="7"/>
      <c r="G51" s="11"/>
      <c r="H51" s="13"/>
      <c r="I51" s="67"/>
      <c r="J51" s="13"/>
      <c r="L51" s="6"/>
      <c r="M51" s="2"/>
      <c r="O51" s="2"/>
      <c r="Q51" s="2"/>
      <c r="R51" s="2"/>
      <c r="S51" s="7"/>
    </row>
    <row r="52" spans="1:19">
      <c r="A52" s="17"/>
      <c r="F52" s="7"/>
      <c r="G52" s="11"/>
      <c r="H52" s="13"/>
      <c r="I52" s="66"/>
      <c r="J52" s="13"/>
      <c r="L52" s="6"/>
      <c r="M52" s="2"/>
      <c r="O52" s="2"/>
      <c r="Q52" s="2"/>
      <c r="R52" s="2"/>
      <c r="S52" s="7"/>
    </row>
    <row r="53" spans="1:19">
      <c r="B53" s="6"/>
      <c r="F53" s="26"/>
      <c r="G53" s="21"/>
      <c r="H53" s="13"/>
      <c r="I53" s="54"/>
      <c r="J53" s="13"/>
      <c r="L53" s="6"/>
      <c r="M53" s="2"/>
      <c r="O53" s="2"/>
      <c r="Q53" s="2"/>
      <c r="R53" s="2"/>
      <c r="S53" s="7"/>
    </row>
    <row r="54" spans="1:19">
      <c r="B54" s="6"/>
      <c r="F54" s="7"/>
      <c r="G54" s="11"/>
      <c r="H54" s="13"/>
      <c r="I54" s="21"/>
      <c r="J54" s="13"/>
      <c r="L54" s="6"/>
      <c r="M54" s="2"/>
      <c r="O54" s="2"/>
      <c r="Q54" s="2"/>
      <c r="R54" s="2"/>
      <c r="S54" s="7"/>
    </row>
    <row r="55" spans="1:19" ht="16" thickBot="1">
      <c r="B55" s="6"/>
      <c r="F55" s="7"/>
      <c r="G55" s="11"/>
      <c r="H55" s="13"/>
      <c r="I55" s="21"/>
      <c r="J55" s="47">
        <f>SUM(J9:J54)</f>
        <v>3895803.8</v>
      </c>
      <c r="L55" s="47">
        <f>SUM(L11:L54)</f>
        <v>2180603.7999999998</v>
      </c>
      <c r="M55" s="47">
        <f>SUM(M11:M54)</f>
        <v>1158950</v>
      </c>
      <c r="N55" s="47">
        <f t="shared" ref="N55:S55" si="1">SUM(N9:N54)</f>
        <v>0</v>
      </c>
      <c r="O55" s="47">
        <f t="shared" si="1"/>
        <v>0</v>
      </c>
      <c r="P55" s="47">
        <f t="shared" si="1"/>
        <v>0</v>
      </c>
      <c r="Q55" s="47">
        <f t="shared" si="1"/>
        <v>0</v>
      </c>
      <c r="R55" s="47">
        <f t="shared" si="1"/>
        <v>0</v>
      </c>
      <c r="S55" s="47">
        <f t="shared" si="1"/>
        <v>0</v>
      </c>
    </row>
    <row r="56" spans="1:19">
      <c r="B56" s="8"/>
      <c r="C56" s="9"/>
      <c r="D56" s="9"/>
      <c r="E56" s="9"/>
      <c r="F56" s="10"/>
      <c r="G56" s="14"/>
      <c r="H56" s="15"/>
      <c r="I56" s="23"/>
      <c r="J56" s="15"/>
      <c r="L56" s="8"/>
      <c r="M56" s="63"/>
      <c r="N56" s="9"/>
      <c r="O56" s="63"/>
      <c r="P56" s="9"/>
      <c r="Q56" s="63"/>
      <c r="R56" s="63"/>
      <c r="S56" s="10"/>
    </row>
  </sheetData>
  <mergeCells count="19">
    <mergeCell ref="J5:J8"/>
    <mergeCell ref="AA5:AH5"/>
    <mergeCell ref="AA6:AE6"/>
    <mergeCell ref="AF6:AF7"/>
    <mergeCell ref="AG6:AG7"/>
    <mergeCell ref="AH6:AH7"/>
    <mergeCell ref="L5:S5"/>
    <mergeCell ref="Q6:Q7"/>
    <mergeCell ref="R6:R7"/>
    <mergeCell ref="S6:S7"/>
    <mergeCell ref="L6:M6"/>
    <mergeCell ref="N6:O6"/>
    <mergeCell ref="P6:P7"/>
    <mergeCell ref="H2:I2"/>
    <mergeCell ref="A5:A8"/>
    <mergeCell ref="B5:F8"/>
    <mergeCell ref="G5:G8"/>
    <mergeCell ref="H5:H8"/>
    <mergeCell ref="I5:I8"/>
  </mergeCells>
  <printOptions horizontalCentered="1"/>
  <pageMargins left="0.261811024" right="0.511811023622047" top="0.55118110236220497" bottom="0.55118110236220497" header="0.31496062992126" footer="0.31496062992126"/>
  <pageSetup paperSize="9" scale="31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AC449-8842-E04C-B624-02426980387B}">
  <sheetPr>
    <tabColor theme="9" tint="0.79998168889431442"/>
    <pageSetUpPr fitToPage="1"/>
  </sheetPr>
  <dimension ref="A1:R205"/>
  <sheetViews>
    <sheetView topLeftCell="A158" zoomScaleNormal="100" zoomScaleSheetLayoutView="174" workbookViewId="0">
      <selection activeCell="B172" sqref="B172"/>
    </sheetView>
  </sheetViews>
  <sheetFormatPr baseColWidth="10" defaultColWidth="8.6640625" defaultRowHeight="13"/>
  <cols>
    <col min="1" max="1" width="35.1640625" style="565" bestFit="1" customWidth="1"/>
    <col min="2" max="2" width="22.6640625" style="565" customWidth="1"/>
    <col min="3" max="3" width="9.6640625" style="565" customWidth="1"/>
    <col min="4" max="5" width="8.6640625" style="565"/>
    <col min="6" max="6" width="10.5" style="565" bestFit="1" customWidth="1"/>
    <col min="7" max="7" width="8.6640625" style="565"/>
    <col min="8" max="8" width="4.5" style="565" customWidth="1"/>
    <col min="9" max="9" width="5.5" style="565" customWidth="1"/>
    <col min="10" max="10" width="5.33203125" style="565" customWidth="1"/>
    <col min="11" max="11" width="5.6640625" style="565" customWidth="1"/>
    <col min="12" max="12" width="6.83203125" style="565" customWidth="1"/>
    <col min="13" max="13" width="4.33203125" style="565" customWidth="1"/>
    <col min="14" max="16384" width="8.6640625" style="565"/>
  </cols>
  <sheetData>
    <row r="1" spans="1:18" ht="14" thickBot="1"/>
    <row r="2" spans="1:18" ht="14" thickTop="1">
      <c r="A2" s="884" t="s">
        <v>907</v>
      </c>
      <c r="G2" s="887"/>
      <c r="H2" s="886"/>
      <c r="I2" s="886"/>
      <c r="J2" s="886"/>
      <c r="K2" s="886"/>
      <c r="L2" s="886"/>
      <c r="M2" s="886"/>
      <c r="N2" s="886"/>
      <c r="O2" s="886"/>
      <c r="P2" s="886"/>
      <c r="Q2" s="886"/>
      <c r="R2" s="885"/>
    </row>
    <row r="3" spans="1:18">
      <c r="G3" s="849"/>
      <c r="R3" s="848"/>
    </row>
    <row r="4" spans="1:18">
      <c r="G4" s="849"/>
      <c r="R4" s="848"/>
    </row>
    <row r="5" spans="1:18">
      <c r="A5" s="884" t="s">
        <v>904</v>
      </c>
      <c r="G5" s="849"/>
      <c r="R5" s="848"/>
    </row>
    <row r="6" spans="1:18">
      <c r="G6" s="849"/>
      <c r="R6" s="848"/>
    </row>
    <row r="7" spans="1:18">
      <c r="G7" s="849"/>
      <c r="I7" s="1172"/>
      <c r="J7" s="1172"/>
      <c r="R7" s="848"/>
    </row>
    <row r="8" spans="1:18" ht="14" thickBot="1">
      <c r="A8" s="565" t="s">
        <v>901</v>
      </c>
      <c r="B8" s="565" t="s">
        <v>908</v>
      </c>
      <c r="G8" s="849"/>
      <c r="R8" s="848"/>
    </row>
    <row r="9" spans="1:18" ht="15" thickTop="1" thickBot="1">
      <c r="G9" s="849"/>
      <c r="I9" s="865"/>
      <c r="J9" s="883"/>
      <c r="K9" s="870"/>
      <c r="L9" s="870"/>
      <c r="R9" s="848"/>
    </row>
    <row r="10" spans="1:18" ht="14" thickTop="1">
      <c r="A10" s="882"/>
      <c r="B10" s="881" t="s">
        <v>899</v>
      </c>
      <c r="C10" s="880"/>
      <c r="D10" s="629"/>
      <c r="G10" s="849"/>
      <c r="I10" s="863"/>
      <c r="J10" s="879"/>
      <c r="K10" s="870"/>
      <c r="L10" s="870"/>
      <c r="R10" s="848"/>
    </row>
    <row r="11" spans="1:18">
      <c r="A11" s="878" t="s">
        <v>897</v>
      </c>
      <c r="B11" s="877">
        <v>2</v>
      </c>
      <c r="C11" s="876" t="s">
        <v>4</v>
      </c>
      <c r="D11" s="629"/>
      <c r="G11" s="849"/>
      <c r="I11" s="1173"/>
      <c r="J11" s="1174"/>
      <c r="K11" s="875"/>
      <c r="L11" s="870"/>
      <c r="R11" s="848"/>
    </row>
    <row r="12" spans="1:18" ht="14" thickBot="1">
      <c r="A12" s="874" t="s">
        <v>894</v>
      </c>
      <c r="B12" s="873">
        <f>'10. Retaining Walls'!Z508*0.6</f>
        <v>898.8</v>
      </c>
      <c r="C12" s="872" t="s">
        <v>885</v>
      </c>
      <c r="D12" s="629"/>
      <c r="G12" s="868"/>
      <c r="I12" s="863"/>
      <c r="J12" s="862"/>
      <c r="K12" s="871"/>
      <c r="L12" s="870"/>
      <c r="R12" s="848"/>
    </row>
    <row r="13" spans="1:18" ht="14" thickTop="1">
      <c r="B13" s="869"/>
      <c r="C13" s="629"/>
      <c r="D13" s="629"/>
      <c r="G13" s="849"/>
      <c r="I13" s="865"/>
      <c r="J13" s="864"/>
      <c r="K13" s="862"/>
      <c r="L13" s="867"/>
      <c r="R13" s="848"/>
    </row>
    <row r="14" spans="1:18">
      <c r="A14" s="565" t="s">
        <v>892</v>
      </c>
      <c r="B14" s="629">
        <f>B11*B12</f>
        <v>1797.6</v>
      </c>
      <c r="C14" s="629" t="s">
        <v>39</v>
      </c>
      <c r="D14" s="629"/>
      <c r="G14" s="868"/>
      <c r="I14" s="863"/>
      <c r="J14" s="862"/>
      <c r="K14" s="862"/>
      <c r="L14" s="867"/>
      <c r="R14" s="848"/>
    </row>
    <row r="15" spans="1:18">
      <c r="A15" s="565" t="s">
        <v>889</v>
      </c>
      <c r="B15" s="629">
        <f>B11</f>
        <v>2</v>
      </c>
      <c r="C15" s="629" t="s">
        <v>885</v>
      </c>
      <c r="D15" s="629"/>
      <c r="G15" s="849"/>
      <c r="I15" s="863"/>
      <c r="J15" s="862"/>
      <c r="K15" s="862"/>
      <c r="L15" s="867"/>
      <c r="R15" s="848"/>
    </row>
    <row r="16" spans="1:18" ht="14" thickBot="1">
      <c r="A16" s="565" t="s">
        <v>886</v>
      </c>
      <c r="B16" s="629">
        <f>B15</f>
        <v>2</v>
      </c>
      <c r="C16" s="629" t="s">
        <v>885</v>
      </c>
      <c r="D16" s="629"/>
      <c r="G16" s="849"/>
      <c r="I16" s="859"/>
      <c r="J16" s="858"/>
      <c r="K16" s="858"/>
      <c r="L16" s="866"/>
      <c r="R16" s="848"/>
    </row>
    <row r="17" spans="1:18" ht="14" thickTop="1">
      <c r="A17" s="565" t="s">
        <v>883</v>
      </c>
      <c r="B17" s="629">
        <v>0.5</v>
      </c>
      <c r="C17" s="629" t="s">
        <v>4</v>
      </c>
      <c r="D17" s="629"/>
      <c r="G17" s="849"/>
      <c r="I17" s="865"/>
      <c r="J17" s="864"/>
      <c r="K17" s="864"/>
      <c r="L17" s="862"/>
      <c r="M17" s="861"/>
      <c r="R17" s="848"/>
    </row>
    <row r="18" spans="1:18">
      <c r="A18" s="565" t="s">
        <v>882</v>
      </c>
      <c r="B18" s="629">
        <f>B16+0.5</f>
        <v>2.5</v>
      </c>
      <c r="C18" s="629" t="s">
        <v>4</v>
      </c>
      <c r="D18" s="629"/>
      <c r="G18" s="849"/>
      <c r="I18" s="863"/>
      <c r="J18" s="1174"/>
      <c r="K18" s="1174"/>
      <c r="L18" s="862"/>
      <c r="M18" s="861"/>
      <c r="R18" s="848"/>
    </row>
    <row r="19" spans="1:18">
      <c r="A19" s="565" t="s">
        <v>879</v>
      </c>
      <c r="B19" s="841"/>
      <c r="C19" s="629" t="s">
        <v>18</v>
      </c>
      <c r="D19" s="629"/>
      <c r="G19" s="849"/>
      <c r="I19" s="863"/>
      <c r="J19" s="862"/>
      <c r="K19" s="862"/>
      <c r="L19" s="862"/>
      <c r="M19" s="861"/>
      <c r="R19" s="848"/>
    </row>
    <row r="20" spans="1:18" ht="14" thickBot="1">
      <c r="A20" s="565" t="s">
        <v>878</v>
      </c>
      <c r="B20" s="841">
        <f>B12*1.5*1</f>
        <v>1348.1999999999998</v>
      </c>
      <c r="C20" s="629" t="s">
        <v>18</v>
      </c>
      <c r="D20" s="629"/>
      <c r="F20" s="629"/>
      <c r="G20" s="860"/>
      <c r="I20" s="859"/>
      <c r="J20" s="858"/>
      <c r="K20" s="858"/>
      <c r="L20" s="857"/>
      <c r="M20" s="856"/>
      <c r="R20" s="848"/>
    </row>
    <row r="21" spans="1:18" ht="14" thickTop="1">
      <c r="A21" s="565" t="s">
        <v>877</v>
      </c>
      <c r="B21" s="841">
        <f>B12*1*1</f>
        <v>898.8</v>
      </c>
      <c r="C21" s="629" t="s">
        <v>18</v>
      </c>
      <c r="D21" s="629"/>
      <c r="F21" s="840"/>
      <c r="G21" s="855"/>
      <c r="H21" s="854"/>
      <c r="I21" s="853"/>
      <c r="J21" s="853"/>
      <c r="K21" s="853"/>
      <c r="L21" s="853"/>
      <c r="M21" s="852"/>
      <c r="N21" s="851"/>
      <c r="R21" s="848"/>
    </row>
    <row r="22" spans="1:18">
      <c r="A22" s="565" t="s">
        <v>876</v>
      </c>
      <c r="B22" s="841">
        <f>B19+B20+B21</f>
        <v>2247</v>
      </c>
      <c r="C22" s="629" t="s">
        <v>18</v>
      </c>
      <c r="D22" s="629"/>
      <c r="F22" s="840"/>
      <c r="G22" s="850"/>
      <c r="H22" s="629"/>
      <c r="M22" s="629"/>
      <c r="R22" s="848"/>
    </row>
    <row r="23" spans="1:18">
      <c r="A23" s="565" t="s">
        <v>874</v>
      </c>
      <c r="B23" s="841">
        <f>(0.25*2+0.75*1+1.25*1)*B12</f>
        <v>2247</v>
      </c>
      <c r="C23" s="629" t="s">
        <v>18</v>
      </c>
      <c r="D23" s="629"/>
      <c r="F23" s="840"/>
      <c r="G23" s="850"/>
      <c r="R23" s="848"/>
    </row>
    <row r="24" spans="1:18">
      <c r="A24" s="565" t="s">
        <v>859</v>
      </c>
      <c r="B24" s="841">
        <f>(0.5+1+0.5+1+0.5+1+0.5)*B12</f>
        <v>4494</v>
      </c>
      <c r="C24" s="629" t="s">
        <v>39</v>
      </c>
      <c r="D24" s="629"/>
      <c r="F24" s="840"/>
      <c r="G24" s="849"/>
      <c r="R24" s="848"/>
    </row>
    <row r="25" spans="1:18">
      <c r="B25" s="841"/>
      <c r="C25" s="629"/>
      <c r="D25" s="629"/>
      <c r="F25" s="840"/>
      <c r="G25" s="849"/>
      <c r="R25" s="848"/>
    </row>
    <row r="26" spans="1:18" ht="14" thickBot="1">
      <c r="B26" s="841"/>
      <c r="C26" s="629"/>
      <c r="D26" s="629"/>
      <c r="F26" s="840"/>
      <c r="G26" s="847"/>
      <c r="H26" s="846"/>
      <c r="I26" s="846"/>
      <c r="J26" s="846"/>
      <c r="K26" s="846"/>
      <c r="L26" s="846"/>
      <c r="M26" s="846"/>
      <c r="N26" s="846"/>
      <c r="O26" s="846"/>
      <c r="P26" s="846"/>
      <c r="Q26" s="846"/>
      <c r="R26" s="845"/>
    </row>
    <row r="27" spans="1:18" ht="14" thickTop="1">
      <c r="B27" s="841"/>
      <c r="C27" s="629"/>
      <c r="D27" s="629"/>
      <c r="F27" s="840"/>
    </row>
    <row r="28" spans="1:18">
      <c r="A28" s="565" t="s">
        <v>871</v>
      </c>
      <c r="B28" s="841">
        <v>1</v>
      </c>
      <c r="C28" s="629" t="s">
        <v>870</v>
      </c>
      <c r="D28" s="842">
        <v>650</v>
      </c>
      <c r="E28" s="840">
        <f t="shared" ref="E28:E37" si="0">B28*D28</f>
        <v>650</v>
      </c>
      <c r="G28" s="840"/>
    </row>
    <row r="29" spans="1:18">
      <c r="A29" s="565" t="s">
        <v>869</v>
      </c>
      <c r="B29" s="841">
        <f>B12</f>
        <v>898.8</v>
      </c>
      <c r="C29" s="629" t="s">
        <v>854</v>
      </c>
      <c r="D29" s="842">
        <v>4.5</v>
      </c>
      <c r="E29" s="840">
        <f t="shared" si="0"/>
        <v>4044.6</v>
      </c>
      <c r="G29" s="840"/>
    </row>
    <row r="30" spans="1:18">
      <c r="A30" s="565" t="s">
        <v>868</v>
      </c>
      <c r="B30" s="841">
        <v>0</v>
      </c>
      <c r="C30" s="629" t="s">
        <v>39</v>
      </c>
      <c r="D30" s="842">
        <v>5</v>
      </c>
      <c r="E30" s="840">
        <f t="shared" si="0"/>
        <v>0</v>
      </c>
      <c r="G30" s="840"/>
    </row>
    <row r="31" spans="1:18">
      <c r="A31" s="565" t="s">
        <v>867</v>
      </c>
      <c r="B31" s="841">
        <v>0</v>
      </c>
      <c r="C31" s="629" t="s">
        <v>18</v>
      </c>
      <c r="D31" s="842">
        <v>4.5</v>
      </c>
      <c r="E31" s="840">
        <f t="shared" si="0"/>
        <v>0</v>
      </c>
      <c r="G31" s="840"/>
      <c r="H31" s="844"/>
    </row>
    <row r="32" spans="1:18">
      <c r="A32" s="565" t="s">
        <v>866</v>
      </c>
      <c r="B32" s="841">
        <f>B12*B18*B17</f>
        <v>1123.5</v>
      </c>
      <c r="C32" s="629" t="s">
        <v>18</v>
      </c>
      <c r="D32" s="842">
        <v>15</v>
      </c>
      <c r="E32" s="840">
        <f t="shared" si="0"/>
        <v>16852.5</v>
      </c>
      <c r="F32" s="840"/>
      <c r="G32" s="840"/>
      <c r="H32" s="844"/>
    </row>
    <row r="33" spans="1:11">
      <c r="A33" s="565" t="s">
        <v>865</v>
      </c>
      <c r="B33" s="841">
        <f>B32</f>
        <v>1123.5</v>
      </c>
      <c r="C33" s="629" t="s">
        <v>18</v>
      </c>
      <c r="D33" s="842">
        <v>8.5</v>
      </c>
      <c r="E33" s="840">
        <f t="shared" si="0"/>
        <v>9549.75</v>
      </c>
      <c r="F33" s="840"/>
      <c r="G33" s="840"/>
    </row>
    <row r="34" spans="1:11">
      <c r="A34" s="565" t="s">
        <v>864</v>
      </c>
      <c r="B34" s="841">
        <f>B12*B18</f>
        <v>2247</v>
      </c>
      <c r="C34" s="629" t="s">
        <v>39</v>
      </c>
      <c r="D34" s="842">
        <v>1.25</v>
      </c>
      <c r="E34" s="840">
        <f t="shared" si="0"/>
        <v>2808.75</v>
      </c>
      <c r="F34" s="840"/>
      <c r="G34" s="840"/>
      <c r="J34" s="839"/>
      <c r="K34" s="839"/>
    </row>
    <row r="35" spans="1:11">
      <c r="A35" s="565" t="s">
        <v>863</v>
      </c>
      <c r="B35" s="841">
        <f>B18*0.3*B12</f>
        <v>674.09999999999991</v>
      </c>
      <c r="C35" s="629" t="s">
        <v>18</v>
      </c>
      <c r="D35" s="842">
        <f>39.83*0.3</f>
        <v>11.949</v>
      </c>
      <c r="E35" s="840">
        <f t="shared" si="0"/>
        <v>8054.8208999999988</v>
      </c>
      <c r="F35" s="840"/>
      <c r="G35" s="840"/>
    </row>
    <row r="36" spans="1:11">
      <c r="A36" s="565" t="s">
        <v>862</v>
      </c>
      <c r="B36" s="841">
        <f>B23</f>
        <v>2247</v>
      </c>
      <c r="C36" s="629" t="s">
        <v>18</v>
      </c>
      <c r="D36" s="842">
        <v>12</v>
      </c>
      <c r="E36" s="840">
        <f t="shared" si="0"/>
        <v>26964</v>
      </c>
      <c r="F36" s="840"/>
    </row>
    <row r="37" spans="1:11">
      <c r="A37" s="565" t="s">
        <v>861</v>
      </c>
      <c r="B37" s="841">
        <v>0</v>
      </c>
      <c r="C37" s="629" t="s">
        <v>18</v>
      </c>
      <c r="D37" s="842">
        <f>'5. Cut &amp; Fill'!I45</f>
        <v>0</v>
      </c>
      <c r="E37" s="840">
        <f t="shared" si="0"/>
        <v>0</v>
      </c>
      <c r="F37" s="840" t="s">
        <v>860</v>
      </c>
    </row>
    <row r="38" spans="1:11">
      <c r="B38" s="843"/>
      <c r="F38" s="840"/>
    </row>
    <row r="39" spans="1:11">
      <c r="A39" s="565" t="s">
        <v>859</v>
      </c>
      <c r="B39" s="841">
        <f>B24</f>
        <v>4494</v>
      </c>
      <c r="C39" s="629" t="s">
        <v>39</v>
      </c>
      <c r="D39" s="842">
        <v>3.5</v>
      </c>
      <c r="E39" s="840">
        <f>B39*D39</f>
        <v>15729</v>
      </c>
    </row>
    <row r="40" spans="1:11">
      <c r="A40" s="565" t="s">
        <v>858</v>
      </c>
      <c r="B40" s="841">
        <f>B22</f>
        <v>2247</v>
      </c>
      <c r="C40" s="629" t="s">
        <v>18</v>
      </c>
      <c r="D40" s="842">
        <v>150</v>
      </c>
      <c r="E40" s="840">
        <f>B40*D40</f>
        <v>337050</v>
      </c>
    </row>
    <row r="41" spans="1:11">
      <c r="B41" s="841"/>
      <c r="C41" s="629"/>
      <c r="D41" s="842"/>
      <c r="E41" s="840"/>
    </row>
    <row r="42" spans="1:11">
      <c r="A42" s="565" t="s">
        <v>857</v>
      </c>
      <c r="B42" s="841">
        <f>B12/1.8</f>
        <v>499.33333333333331</v>
      </c>
      <c r="C42" s="629" t="s">
        <v>18</v>
      </c>
      <c r="D42" s="842">
        <v>26</v>
      </c>
      <c r="E42" s="840">
        <f>B42*D42</f>
        <v>12982.666666666666</v>
      </c>
    </row>
    <row r="43" spans="1:11">
      <c r="A43" s="565" t="s">
        <v>856</v>
      </c>
      <c r="B43" s="841"/>
      <c r="C43" s="629"/>
      <c r="D43" s="629"/>
      <c r="E43" s="840"/>
    </row>
    <row r="44" spans="1:11">
      <c r="B44" s="841"/>
      <c r="C44" s="629"/>
      <c r="D44" s="629"/>
      <c r="E44" s="840"/>
    </row>
    <row r="45" spans="1:11">
      <c r="A45" s="565" t="s">
        <v>855</v>
      </c>
      <c r="B45" s="841">
        <f>B12</f>
        <v>898.8</v>
      </c>
      <c r="C45" s="629" t="s">
        <v>854</v>
      </c>
      <c r="D45" s="842">
        <v>42</v>
      </c>
      <c r="E45" s="840">
        <f>B45*D45</f>
        <v>37749.599999999999</v>
      </c>
    </row>
    <row r="46" spans="1:11">
      <c r="B46" s="841"/>
      <c r="C46" s="629"/>
      <c r="D46" s="629"/>
      <c r="E46" s="840"/>
    </row>
    <row r="47" spans="1:11">
      <c r="B47" s="629"/>
      <c r="C47" s="629"/>
      <c r="D47" s="839" t="s">
        <v>141</v>
      </c>
      <c r="E47" s="838">
        <f>SUM(E28:E45)</f>
        <v>472435.68756666669</v>
      </c>
    </row>
    <row r="48" spans="1:11" ht="14" thickBot="1"/>
    <row r="49" spans="1:18" ht="14" thickTop="1">
      <c r="A49" s="837" t="s">
        <v>853</v>
      </c>
      <c r="B49" s="836">
        <f>E47/B12</f>
        <v>525.62938091529452</v>
      </c>
      <c r="C49" s="835" t="s">
        <v>852</v>
      </c>
      <c r="D49" s="835"/>
      <c r="E49" s="834"/>
    </row>
    <row r="50" spans="1:18">
      <c r="A50" s="832"/>
      <c r="B50" s="831"/>
      <c r="C50" s="828"/>
      <c r="D50" s="828"/>
      <c r="E50" s="827"/>
    </row>
    <row r="51" spans="1:18">
      <c r="A51" s="830" t="s">
        <v>851</v>
      </c>
      <c r="B51" s="833">
        <f>E47/B14</f>
        <v>262.81469045764726</v>
      </c>
      <c r="C51" s="828" t="s">
        <v>39</v>
      </c>
      <c r="D51" s="828"/>
      <c r="E51" s="827"/>
    </row>
    <row r="52" spans="1:18">
      <c r="A52" s="832"/>
      <c r="B52" s="831"/>
      <c r="C52" s="828"/>
      <c r="D52" s="828"/>
      <c r="E52" s="827"/>
    </row>
    <row r="53" spans="1:18">
      <c r="A53" s="830" t="s">
        <v>850</v>
      </c>
      <c r="B53" s="829">
        <f>B49*B12</f>
        <v>472435.68756666669</v>
      </c>
      <c r="C53" s="828"/>
      <c r="D53" s="828"/>
      <c r="E53" s="827"/>
    </row>
    <row r="54" spans="1:18" ht="14" thickBot="1">
      <c r="A54" s="826"/>
      <c r="B54" s="825"/>
      <c r="C54" s="825"/>
      <c r="D54" s="825"/>
      <c r="E54" s="824"/>
    </row>
    <row r="55" spans="1:18" ht="14" thickTop="1"/>
    <row r="56" spans="1:18" ht="14" thickBot="1">
      <c r="A56" s="823"/>
    </row>
    <row r="57" spans="1:18" ht="14" thickTop="1">
      <c r="A57" s="565" t="s">
        <v>901</v>
      </c>
      <c r="B57" s="565" t="s">
        <v>900</v>
      </c>
      <c r="G57" s="887"/>
      <c r="H57" s="886"/>
      <c r="I57" s="886"/>
      <c r="J57" s="886"/>
      <c r="K57" s="886"/>
      <c r="L57" s="886"/>
      <c r="M57" s="886"/>
      <c r="N57" s="886"/>
      <c r="O57" s="886"/>
      <c r="P57" s="886"/>
      <c r="Q57" s="886"/>
      <c r="R57" s="885"/>
    </row>
    <row r="58" spans="1:18" ht="14" thickBot="1">
      <c r="G58" s="849"/>
      <c r="H58" s="565" t="s">
        <v>906</v>
      </c>
      <c r="L58" s="565" t="s">
        <v>905</v>
      </c>
      <c r="R58" s="848"/>
    </row>
    <row r="59" spans="1:18" ht="14" thickTop="1">
      <c r="A59" s="882"/>
      <c r="B59" s="881" t="s">
        <v>899</v>
      </c>
      <c r="C59" s="880"/>
      <c r="D59" s="629"/>
      <c r="G59" s="849"/>
      <c r="R59" s="848"/>
    </row>
    <row r="60" spans="1:18">
      <c r="A60" s="878" t="s">
        <v>897</v>
      </c>
      <c r="B60" s="877">
        <v>3</v>
      </c>
      <c r="C60" s="876" t="s">
        <v>4</v>
      </c>
      <c r="D60" s="629"/>
      <c r="G60" s="849"/>
      <c r="L60" s="565" t="s">
        <v>903</v>
      </c>
      <c r="R60" s="848"/>
    </row>
    <row r="61" spans="1:18" ht="14" thickBot="1">
      <c r="A61" s="874" t="s">
        <v>894</v>
      </c>
      <c r="B61" s="873">
        <f>'10. Retaining Walls'!AA508</f>
        <v>280</v>
      </c>
      <c r="C61" s="872" t="s">
        <v>885</v>
      </c>
      <c r="D61" s="629"/>
      <c r="G61" s="849"/>
      <c r="R61" s="848"/>
    </row>
    <row r="62" spans="1:18" ht="14" thickTop="1">
      <c r="B62" s="869"/>
      <c r="C62" s="629"/>
      <c r="D62" s="629"/>
      <c r="G62" s="849"/>
      <c r="I62" s="1172"/>
      <c r="J62" s="1172"/>
      <c r="O62" s="565" t="s">
        <v>902</v>
      </c>
      <c r="R62" s="848"/>
    </row>
    <row r="63" spans="1:18" ht="14" thickBot="1">
      <c r="A63" s="565" t="s">
        <v>892</v>
      </c>
      <c r="B63" s="629">
        <f>B60*B61</f>
        <v>840</v>
      </c>
      <c r="C63" s="629" t="s">
        <v>39</v>
      </c>
      <c r="D63" s="629"/>
      <c r="G63" s="849"/>
      <c r="R63" s="848"/>
    </row>
    <row r="64" spans="1:18" ht="14" thickTop="1">
      <c r="A64" s="565" t="s">
        <v>889</v>
      </c>
      <c r="B64" s="629">
        <f>B60</f>
        <v>3</v>
      </c>
      <c r="C64" s="629" t="s">
        <v>885</v>
      </c>
      <c r="D64" s="629"/>
      <c r="G64" s="849"/>
      <c r="I64" s="865"/>
      <c r="J64" s="883"/>
      <c r="K64" s="870"/>
      <c r="L64" s="870"/>
      <c r="R64" s="848"/>
    </row>
    <row r="65" spans="1:18">
      <c r="A65" s="565" t="s">
        <v>886</v>
      </c>
      <c r="B65" s="629">
        <v>3</v>
      </c>
      <c r="C65" s="629" t="s">
        <v>885</v>
      </c>
      <c r="D65" s="629"/>
      <c r="G65" s="849"/>
      <c r="I65" s="863"/>
      <c r="J65" s="879"/>
      <c r="K65" s="870"/>
      <c r="L65" s="870"/>
      <c r="N65" s="565" t="s">
        <v>898</v>
      </c>
      <c r="R65" s="848"/>
    </row>
    <row r="66" spans="1:18">
      <c r="A66" s="565" t="s">
        <v>883</v>
      </c>
      <c r="B66" s="629">
        <v>0.5</v>
      </c>
      <c r="C66" s="629" t="s">
        <v>4</v>
      </c>
      <c r="D66" s="629"/>
      <c r="G66" s="849"/>
      <c r="I66" s="1173" t="s">
        <v>896</v>
      </c>
      <c r="J66" s="1174"/>
      <c r="K66" s="875"/>
      <c r="L66" s="870"/>
      <c r="N66" s="565" t="s">
        <v>895</v>
      </c>
      <c r="R66" s="848"/>
    </row>
    <row r="67" spans="1:18" ht="14" thickBot="1">
      <c r="A67" s="565" t="s">
        <v>882</v>
      </c>
      <c r="B67" s="629">
        <f>B65+0.5</f>
        <v>3.5</v>
      </c>
      <c r="C67" s="629" t="s">
        <v>4</v>
      </c>
      <c r="D67" s="629"/>
      <c r="G67" s="868" t="s">
        <v>893</v>
      </c>
      <c r="I67" s="863"/>
      <c r="J67" s="862"/>
      <c r="K67" s="871"/>
      <c r="L67" s="870"/>
      <c r="R67" s="848"/>
    </row>
    <row r="68" spans="1:18" ht="14" thickTop="1">
      <c r="A68" s="565" t="s">
        <v>879</v>
      </c>
      <c r="B68" s="841">
        <f>B61*2*1</f>
        <v>560</v>
      </c>
      <c r="C68" s="629" t="s">
        <v>18</v>
      </c>
      <c r="D68" s="629"/>
      <c r="G68" s="849"/>
      <c r="I68" s="865"/>
      <c r="J68" s="864"/>
      <c r="K68" s="862"/>
      <c r="L68" s="867"/>
      <c r="R68" s="848"/>
    </row>
    <row r="69" spans="1:18">
      <c r="A69" s="565" t="s">
        <v>878</v>
      </c>
      <c r="B69" s="841">
        <f>B61*1.5*1</f>
        <v>420</v>
      </c>
      <c r="C69" s="629" t="s">
        <v>18</v>
      </c>
      <c r="D69" s="629"/>
      <c r="F69" s="629"/>
      <c r="G69" s="868" t="s">
        <v>891</v>
      </c>
      <c r="I69" s="863"/>
      <c r="J69" s="862"/>
      <c r="K69" s="862"/>
      <c r="L69" s="867"/>
      <c r="O69" s="565" t="s">
        <v>890</v>
      </c>
      <c r="R69" s="848"/>
    </row>
    <row r="70" spans="1:18">
      <c r="A70" s="565" t="s">
        <v>877</v>
      </c>
      <c r="B70" s="841">
        <f>B61*1*1</f>
        <v>280</v>
      </c>
      <c r="C70" s="629" t="s">
        <v>18</v>
      </c>
      <c r="D70" s="629"/>
      <c r="F70" s="840"/>
      <c r="G70" s="849"/>
      <c r="I70" s="863"/>
      <c r="J70" s="862" t="s">
        <v>888</v>
      </c>
      <c r="K70" s="862"/>
      <c r="L70" s="867"/>
      <c r="O70" s="565" t="s">
        <v>887</v>
      </c>
      <c r="R70" s="848"/>
    </row>
    <row r="71" spans="1:18" ht="14" thickBot="1">
      <c r="A71" s="565" t="s">
        <v>876</v>
      </c>
      <c r="B71" s="841">
        <f>B68+B69+B70</f>
        <v>1260</v>
      </c>
      <c r="C71" s="629" t="s">
        <v>18</v>
      </c>
      <c r="D71" s="629"/>
      <c r="F71" s="840"/>
      <c r="G71" s="849"/>
      <c r="I71" s="859"/>
      <c r="J71" s="858"/>
      <c r="K71" s="858"/>
      <c r="L71" s="866"/>
      <c r="O71" s="565" t="s">
        <v>884</v>
      </c>
      <c r="R71" s="848"/>
    </row>
    <row r="72" spans="1:18" ht="14" thickTop="1">
      <c r="A72" s="565" t="s">
        <v>874</v>
      </c>
      <c r="B72" s="841">
        <f>(0.25*2+0.75*1+1.25*1)*B61</f>
        <v>700</v>
      </c>
      <c r="C72" s="629" t="s">
        <v>18</v>
      </c>
      <c r="D72" s="629"/>
      <c r="F72" s="840"/>
      <c r="G72" s="849"/>
      <c r="I72" s="865"/>
      <c r="J72" s="864"/>
      <c r="K72" s="864"/>
      <c r="L72" s="862"/>
      <c r="M72" s="861"/>
      <c r="R72" s="848"/>
    </row>
    <row r="73" spans="1:18">
      <c r="A73" s="565" t="s">
        <v>859</v>
      </c>
      <c r="B73" s="841">
        <f>(0.5+1+0.5+1+0.5+1+0.5)*B61</f>
        <v>1400</v>
      </c>
      <c r="C73" s="629" t="s">
        <v>39</v>
      </c>
      <c r="D73" s="629"/>
      <c r="F73" s="840"/>
      <c r="G73" s="849"/>
      <c r="I73" s="863"/>
      <c r="J73" s="1174" t="s">
        <v>881</v>
      </c>
      <c r="K73" s="1174"/>
      <c r="L73" s="862"/>
      <c r="M73" s="861"/>
      <c r="N73" s="565" t="s">
        <v>880</v>
      </c>
      <c r="R73" s="848"/>
    </row>
    <row r="74" spans="1:18">
      <c r="B74" s="841"/>
      <c r="C74" s="629"/>
      <c r="D74" s="629"/>
      <c r="F74" s="840"/>
      <c r="G74" s="849"/>
      <c r="I74" s="863"/>
      <c r="J74" s="862"/>
      <c r="K74" s="862"/>
      <c r="L74" s="862"/>
      <c r="M74" s="861"/>
      <c r="R74" s="848"/>
    </row>
    <row r="75" spans="1:18" ht="14" thickBot="1">
      <c r="B75" s="841"/>
      <c r="C75" s="629"/>
      <c r="D75" s="629"/>
      <c r="F75" s="840"/>
      <c r="G75" s="860"/>
      <c r="I75" s="859"/>
      <c r="J75" s="858"/>
      <c r="K75" s="858"/>
      <c r="L75" s="857"/>
      <c r="M75" s="856"/>
      <c r="R75" s="848"/>
    </row>
    <row r="76" spans="1:18" ht="14" thickTop="1">
      <c r="B76" s="841"/>
      <c r="C76" s="629"/>
      <c r="D76" s="629"/>
      <c r="F76" s="840"/>
      <c r="G76" s="855"/>
      <c r="H76" s="854"/>
      <c r="I76" s="853"/>
      <c r="J76" s="853"/>
      <c r="K76" s="853"/>
      <c r="L76" s="853"/>
      <c r="M76" s="852"/>
      <c r="N76" s="851"/>
      <c r="R76" s="848"/>
    </row>
    <row r="77" spans="1:18">
      <c r="A77" s="565" t="s">
        <v>871</v>
      </c>
      <c r="B77" s="841">
        <v>1</v>
      </c>
      <c r="C77" s="629" t="s">
        <v>870</v>
      </c>
      <c r="D77" s="842">
        <v>650</v>
      </c>
      <c r="E77" s="840">
        <f t="shared" ref="E77:E86" si="1">B77*D77</f>
        <v>650</v>
      </c>
      <c r="G77" s="850"/>
      <c r="H77" s="629">
        <v>250</v>
      </c>
      <c r="M77" s="629">
        <v>250</v>
      </c>
      <c r="O77" s="565" t="s">
        <v>875</v>
      </c>
      <c r="R77" s="848"/>
    </row>
    <row r="78" spans="1:18">
      <c r="A78" s="565" t="s">
        <v>869</v>
      </c>
      <c r="B78" s="841">
        <f>B61</f>
        <v>280</v>
      </c>
      <c r="C78" s="629" t="s">
        <v>854</v>
      </c>
      <c r="D78" s="842">
        <v>4.5</v>
      </c>
      <c r="E78" s="840">
        <f t="shared" si="1"/>
        <v>1260</v>
      </c>
      <c r="G78" s="850"/>
      <c r="R78" s="848"/>
    </row>
    <row r="79" spans="1:18">
      <c r="A79" s="565" t="s">
        <v>868</v>
      </c>
      <c r="B79" s="841">
        <v>0</v>
      </c>
      <c r="C79" s="629" t="s">
        <v>39</v>
      </c>
      <c r="D79" s="842">
        <v>5</v>
      </c>
      <c r="E79" s="840">
        <f t="shared" si="1"/>
        <v>0</v>
      </c>
      <c r="G79" s="849"/>
      <c r="M79" s="565" t="s">
        <v>873</v>
      </c>
      <c r="R79" s="848"/>
    </row>
    <row r="80" spans="1:18">
      <c r="A80" s="565" t="s">
        <v>867</v>
      </c>
      <c r="B80" s="841">
        <v>0</v>
      </c>
      <c r="C80" s="629" t="s">
        <v>18</v>
      </c>
      <c r="D80" s="842">
        <v>4.5</v>
      </c>
      <c r="E80" s="840">
        <f t="shared" si="1"/>
        <v>0</v>
      </c>
      <c r="G80" s="849"/>
      <c r="M80" s="565" t="s">
        <v>872</v>
      </c>
      <c r="R80" s="848"/>
    </row>
    <row r="81" spans="1:18" ht="14" thickBot="1">
      <c r="A81" s="565" t="s">
        <v>866</v>
      </c>
      <c r="B81" s="841">
        <f>B61*B67*B66</f>
        <v>490</v>
      </c>
      <c r="C81" s="629" t="s">
        <v>18</v>
      </c>
      <c r="D81" s="842">
        <v>15</v>
      </c>
      <c r="E81" s="840">
        <f t="shared" si="1"/>
        <v>7350</v>
      </c>
      <c r="F81" s="840"/>
      <c r="G81" s="847"/>
      <c r="H81" s="846"/>
      <c r="I81" s="846"/>
      <c r="J81" s="846"/>
      <c r="K81" s="846"/>
      <c r="L81" s="846"/>
      <c r="M81" s="846"/>
      <c r="N81" s="846"/>
      <c r="O81" s="846"/>
      <c r="P81" s="846"/>
      <c r="Q81" s="846"/>
      <c r="R81" s="845"/>
    </row>
    <row r="82" spans="1:18" ht="14" thickTop="1">
      <c r="A82" s="565" t="s">
        <v>865</v>
      </c>
      <c r="B82" s="841">
        <f>B81</f>
        <v>490</v>
      </c>
      <c r="C82" s="629" t="s">
        <v>18</v>
      </c>
      <c r="D82" s="842">
        <v>8.5</v>
      </c>
      <c r="E82" s="840">
        <f t="shared" si="1"/>
        <v>4165</v>
      </c>
      <c r="F82" s="840"/>
      <c r="G82" s="840"/>
    </row>
    <row r="83" spans="1:18">
      <c r="A83" s="565" t="s">
        <v>864</v>
      </c>
      <c r="B83" s="841">
        <f>B61*B67</f>
        <v>980</v>
      </c>
      <c r="C83" s="629" t="s">
        <v>39</v>
      </c>
      <c r="D83" s="842">
        <v>1.25</v>
      </c>
      <c r="E83" s="840">
        <f t="shared" si="1"/>
        <v>1225</v>
      </c>
      <c r="F83" s="840"/>
      <c r="G83" s="840"/>
      <c r="J83" s="839"/>
      <c r="K83" s="839"/>
    </row>
    <row r="84" spans="1:18">
      <c r="A84" s="565" t="s">
        <v>863</v>
      </c>
      <c r="B84" s="841">
        <f>B67*0.3*B61</f>
        <v>294</v>
      </c>
      <c r="C84" s="629" t="s">
        <v>18</v>
      </c>
      <c r="D84" s="842">
        <f>39.83*0.3</f>
        <v>11.949</v>
      </c>
      <c r="E84" s="840">
        <f t="shared" si="1"/>
        <v>3513.0059999999999</v>
      </c>
      <c r="F84" s="840"/>
      <c r="G84" s="840"/>
    </row>
    <row r="85" spans="1:18">
      <c r="A85" s="565" t="s">
        <v>862</v>
      </c>
      <c r="B85" s="841">
        <f>B72</f>
        <v>700</v>
      </c>
      <c r="C85" s="629" t="s">
        <v>18</v>
      </c>
      <c r="D85" s="842">
        <v>12</v>
      </c>
      <c r="E85" s="840">
        <f t="shared" si="1"/>
        <v>8400</v>
      </c>
      <c r="F85" s="840"/>
    </row>
    <row r="86" spans="1:18">
      <c r="A86" s="565" t="s">
        <v>861</v>
      </c>
      <c r="B86" s="841">
        <v>0</v>
      </c>
      <c r="C86" s="629" t="s">
        <v>18</v>
      </c>
      <c r="D86" s="842">
        <f>'5. Cut &amp; Fill'!I94</f>
        <v>0</v>
      </c>
      <c r="E86" s="840">
        <f t="shared" si="1"/>
        <v>0</v>
      </c>
      <c r="F86" s="840" t="s">
        <v>860</v>
      </c>
    </row>
    <row r="87" spans="1:18">
      <c r="B87" s="843"/>
      <c r="F87" s="840"/>
    </row>
    <row r="88" spans="1:18">
      <c r="A88" s="565" t="s">
        <v>859</v>
      </c>
      <c r="B88" s="841">
        <f>B73</f>
        <v>1400</v>
      </c>
      <c r="C88" s="629" t="s">
        <v>39</v>
      </c>
      <c r="D88" s="842">
        <v>3.5</v>
      </c>
      <c r="E88" s="840">
        <f>B88*D88</f>
        <v>4900</v>
      </c>
    </row>
    <row r="89" spans="1:18">
      <c r="A89" s="565" t="s">
        <v>858</v>
      </c>
      <c r="B89" s="841">
        <f>B71</f>
        <v>1260</v>
      </c>
      <c r="C89" s="629" t="s">
        <v>18</v>
      </c>
      <c r="D89" s="842">
        <v>150</v>
      </c>
      <c r="E89" s="840">
        <f>B89*D89</f>
        <v>189000</v>
      </c>
    </row>
    <row r="90" spans="1:18">
      <c r="B90" s="841"/>
      <c r="C90" s="629"/>
      <c r="D90" s="842"/>
      <c r="E90" s="840"/>
    </row>
    <row r="91" spans="1:18">
      <c r="A91" s="565" t="s">
        <v>857</v>
      </c>
      <c r="B91" s="841">
        <f>B61/1.8</f>
        <v>155.55555555555554</v>
      </c>
      <c r="C91" s="629" t="s">
        <v>18</v>
      </c>
      <c r="D91" s="842">
        <v>26</v>
      </c>
      <c r="E91" s="840">
        <f>B91*D91</f>
        <v>4044.4444444444443</v>
      </c>
    </row>
    <row r="92" spans="1:18">
      <c r="A92" s="565" t="s">
        <v>856</v>
      </c>
      <c r="B92" s="841"/>
      <c r="C92" s="629"/>
      <c r="D92" s="629"/>
      <c r="E92" s="840"/>
    </row>
    <row r="93" spans="1:18">
      <c r="B93" s="841"/>
      <c r="C93" s="629"/>
      <c r="D93" s="629"/>
      <c r="E93" s="840"/>
    </row>
    <row r="94" spans="1:18">
      <c r="A94" s="565" t="s">
        <v>855</v>
      </c>
      <c r="B94" s="841">
        <f>B61</f>
        <v>280</v>
      </c>
      <c r="C94" s="629" t="s">
        <v>854</v>
      </c>
      <c r="D94" s="842">
        <v>42</v>
      </c>
      <c r="E94" s="840">
        <f>B94*D94</f>
        <v>11760</v>
      </c>
    </row>
    <row r="95" spans="1:18">
      <c r="B95" s="841"/>
      <c r="C95" s="629"/>
      <c r="D95" s="629"/>
      <c r="E95" s="840"/>
    </row>
    <row r="96" spans="1:18">
      <c r="B96" s="629"/>
      <c r="C96" s="629"/>
      <c r="D96" s="839" t="s">
        <v>141</v>
      </c>
      <c r="E96" s="838">
        <f>SUM(E77:E94)</f>
        <v>236267.45044444443</v>
      </c>
    </row>
    <row r="97" spans="1:18" ht="14" thickBot="1"/>
    <row r="98" spans="1:18" ht="14" thickTop="1">
      <c r="A98" s="837" t="s">
        <v>853</v>
      </c>
      <c r="B98" s="836">
        <f>E96/B61</f>
        <v>843.81232301587295</v>
      </c>
      <c r="C98" s="835" t="s">
        <v>852</v>
      </c>
      <c r="D98" s="835"/>
      <c r="E98" s="834"/>
    </row>
    <row r="99" spans="1:18">
      <c r="A99" s="832"/>
      <c r="B99" s="831"/>
      <c r="C99" s="828"/>
      <c r="D99" s="828"/>
      <c r="E99" s="827"/>
    </row>
    <row r="100" spans="1:18">
      <c r="A100" s="830" t="s">
        <v>851</v>
      </c>
      <c r="B100" s="833">
        <f>E96/B63</f>
        <v>281.27077433862434</v>
      </c>
      <c r="C100" s="828" t="s">
        <v>39</v>
      </c>
      <c r="D100" s="828"/>
      <c r="E100" s="827"/>
    </row>
    <row r="101" spans="1:18">
      <c r="A101" s="832"/>
      <c r="B101" s="831"/>
      <c r="C101" s="828"/>
      <c r="D101" s="828"/>
      <c r="E101" s="827"/>
    </row>
    <row r="102" spans="1:18">
      <c r="A102" s="830" t="s">
        <v>850</v>
      </c>
      <c r="B102" s="829">
        <f>B98*B61</f>
        <v>236267.45044444443</v>
      </c>
      <c r="C102" s="828"/>
      <c r="D102" s="828"/>
      <c r="E102" s="827"/>
    </row>
    <row r="103" spans="1:18" ht="14" thickBot="1">
      <c r="A103" s="826"/>
      <c r="B103" s="825"/>
      <c r="C103" s="825"/>
      <c r="D103" s="825"/>
      <c r="E103" s="824"/>
    </row>
    <row r="104" spans="1:18" ht="14" thickTop="1"/>
    <row r="106" spans="1:18" ht="14" thickBot="1"/>
    <row r="107" spans="1:18" ht="14" thickTop="1">
      <c r="A107" s="565" t="s">
        <v>901</v>
      </c>
      <c r="B107" s="565" t="s">
        <v>909</v>
      </c>
      <c r="G107" s="887"/>
      <c r="H107" s="886"/>
      <c r="I107" s="886"/>
      <c r="J107" s="886"/>
      <c r="K107" s="886"/>
      <c r="L107" s="886"/>
      <c r="M107" s="886"/>
      <c r="N107" s="886"/>
      <c r="O107" s="886"/>
      <c r="P107" s="886"/>
      <c r="Q107" s="886"/>
      <c r="R107" s="885"/>
    </row>
    <row r="108" spans="1:18" ht="14" thickBot="1">
      <c r="G108" s="849"/>
      <c r="R108" s="848"/>
    </row>
    <row r="109" spans="1:18" ht="14" thickTop="1">
      <c r="A109" s="882"/>
      <c r="B109" s="881" t="s">
        <v>899</v>
      </c>
      <c r="C109" s="880"/>
      <c r="D109" s="629"/>
      <c r="G109" s="849"/>
      <c r="R109" s="848"/>
    </row>
    <row r="110" spans="1:18">
      <c r="A110" s="878" t="s">
        <v>897</v>
      </c>
      <c r="B110" s="877">
        <v>4</v>
      </c>
      <c r="C110" s="876" t="s">
        <v>4</v>
      </c>
      <c r="D110" s="629"/>
      <c r="G110" s="849"/>
      <c r="R110" s="848"/>
    </row>
    <row r="111" spans="1:18" ht="14" thickBot="1">
      <c r="A111" s="874" t="s">
        <v>894</v>
      </c>
      <c r="B111" s="873">
        <f>'10. Retaining Walls'!AB508</f>
        <v>355</v>
      </c>
      <c r="C111" s="872" t="s">
        <v>885</v>
      </c>
      <c r="D111" s="629"/>
      <c r="G111" s="849"/>
      <c r="R111" s="848"/>
    </row>
    <row r="112" spans="1:18" ht="14" thickTop="1">
      <c r="B112" s="869"/>
      <c r="C112" s="629"/>
      <c r="D112" s="629"/>
      <c r="G112" s="849"/>
      <c r="I112" s="1172"/>
      <c r="J112" s="1172"/>
      <c r="R112" s="848"/>
    </row>
    <row r="113" spans="1:18" ht="14" thickBot="1">
      <c r="A113" s="565" t="s">
        <v>892</v>
      </c>
      <c r="B113" s="629">
        <f>B110*B111</f>
        <v>1420</v>
      </c>
      <c r="C113" s="629" t="s">
        <v>39</v>
      </c>
      <c r="D113" s="629"/>
      <c r="G113" s="849"/>
      <c r="R113" s="848"/>
    </row>
    <row r="114" spans="1:18" ht="14" thickTop="1">
      <c r="A114" s="565" t="s">
        <v>889</v>
      </c>
      <c r="B114" s="629">
        <f>B110</f>
        <v>4</v>
      </c>
      <c r="C114" s="629" t="s">
        <v>885</v>
      </c>
      <c r="D114" s="629"/>
      <c r="G114" s="849"/>
      <c r="I114" s="865"/>
      <c r="J114" s="883"/>
      <c r="K114" s="870"/>
      <c r="L114" s="870"/>
      <c r="R114" s="848"/>
    </row>
    <row r="115" spans="1:18">
      <c r="A115" s="565" t="s">
        <v>886</v>
      </c>
      <c r="B115" s="629">
        <f>B114</f>
        <v>4</v>
      </c>
      <c r="C115" s="629" t="s">
        <v>885</v>
      </c>
      <c r="D115" s="629"/>
      <c r="G115" s="849"/>
      <c r="I115" s="863"/>
      <c r="J115" s="879"/>
      <c r="K115" s="870"/>
      <c r="L115" s="870"/>
      <c r="R115" s="848"/>
    </row>
    <row r="116" spans="1:18">
      <c r="A116" s="565" t="s">
        <v>883</v>
      </c>
      <c r="B116" s="629">
        <v>0.5</v>
      </c>
      <c r="C116" s="629" t="s">
        <v>4</v>
      </c>
      <c r="D116" s="629"/>
      <c r="G116" s="849"/>
      <c r="I116" s="1173"/>
      <c r="J116" s="1174"/>
      <c r="K116" s="875"/>
      <c r="L116" s="870"/>
      <c r="R116" s="848"/>
    </row>
    <row r="117" spans="1:18" ht="14" thickBot="1">
      <c r="A117" s="565" t="s">
        <v>882</v>
      </c>
      <c r="B117" s="629">
        <f>B115+0.5</f>
        <v>4.5</v>
      </c>
      <c r="C117" s="629" t="s">
        <v>4</v>
      </c>
      <c r="D117" s="629"/>
      <c r="G117" s="868"/>
      <c r="I117" s="863"/>
      <c r="J117" s="862"/>
      <c r="K117" s="871"/>
      <c r="L117" s="870"/>
      <c r="R117" s="848"/>
    </row>
    <row r="118" spans="1:18" ht="14" thickTop="1">
      <c r="A118" s="565" t="s">
        <v>879</v>
      </c>
      <c r="B118" s="841">
        <f>B111*2*1</f>
        <v>710</v>
      </c>
      <c r="C118" s="629" t="s">
        <v>18</v>
      </c>
      <c r="D118" s="629"/>
      <c r="G118" s="849"/>
      <c r="I118" s="865"/>
      <c r="J118" s="864"/>
      <c r="K118" s="862"/>
      <c r="L118" s="867"/>
      <c r="R118" s="848"/>
    </row>
    <row r="119" spans="1:18">
      <c r="A119" s="565" t="s">
        <v>878</v>
      </c>
      <c r="B119" s="841">
        <f>B111*1.5*1</f>
        <v>532.5</v>
      </c>
      <c r="C119" s="629" t="s">
        <v>18</v>
      </c>
      <c r="D119" s="629"/>
      <c r="F119" s="629"/>
      <c r="G119" s="868"/>
      <c r="I119" s="863"/>
      <c r="J119" s="862"/>
      <c r="K119" s="862"/>
      <c r="L119" s="867"/>
      <c r="R119" s="848"/>
    </row>
    <row r="120" spans="1:18">
      <c r="A120" s="565" t="s">
        <v>877</v>
      </c>
      <c r="B120" s="841">
        <f>B111*1*2</f>
        <v>710</v>
      </c>
      <c r="C120" s="629" t="s">
        <v>18</v>
      </c>
      <c r="D120" s="629"/>
      <c r="F120" s="840"/>
      <c r="G120" s="849"/>
      <c r="I120" s="863"/>
      <c r="J120" s="862"/>
      <c r="K120" s="862"/>
      <c r="L120" s="867"/>
      <c r="R120" s="848"/>
    </row>
    <row r="121" spans="1:18" ht="14" thickBot="1">
      <c r="A121" s="565" t="s">
        <v>876</v>
      </c>
      <c r="B121" s="841">
        <f>B118+B119+B120</f>
        <v>1952.5</v>
      </c>
      <c r="C121" s="629" t="s">
        <v>18</v>
      </c>
      <c r="D121" s="629"/>
      <c r="F121" s="840"/>
      <c r="G121" s="849"/>
      <c r="I121" s="859"/>
      <c r="J121" s="858"/>
      <c r="K121" s="858"/>
      <c r="L121" s="866"/>
      <c r="R121" s="848"/>
    </row>
    <row r="122" spans="1:18" ht="14" thickTop="1">
      <c r="A122" s="565" t="s">
        <v>874</v>
      </c>
      <c r="B122" s="841">
        <f>(0.25*2+0.75*1+1.25*1)*B111</f>
        <v>887.5</v>
      </c>
      <c r="C122" s="629" t="s">
        <v>18</v>
      </c>
      <c r="D122" s="629"/>
      <c r="F122" s="840"/>
      <c r="G122" s="849"/>
      <c r="I122" s="865"/>
      <c r="J122" s="864"/>
      <c r="K122" s="864"/>
      <c r="L122" s="862"/>
      <c r="M122" s="861"/>
      <c r="R122" s="848"/>
    </row>
    <row r="123" spans="1:18">
      <c r="A123" s="565" t="s">
        <v>859</v>
      </c>
      <c r="B123" s="841">
        <f>(0.5+1+0.5+1+0.5+1+0.5)*B111</f>
        <v>1775</v>
      </c>
      <c r="C123" s="629" t="s">
        <v>39</v>
      </c>
      <c r="D123" s="629"/>
      <c r="F123" s="840"/>
      <c r="G123" s="849"/>
      <c r="I123" s="863"/>
      <c r="J123" s="1174"/>
      <c r="K123" s="1174"/>
      <c r="L123" s="862"/>
      <c r="M123" s="861"/>
      <c r="R123" s="848"/>
    </row>
    <row r="124" spans="1:18">
      <c r="B124" s="841"/>
      <c r="C124" s="629"/>
      <c r="D124" s="629"/>
      <c r="F124" s="840"/>
      <c r="G124" s="849"/>
      <c r="I124" s="863"/>
      <c r="J124" s="862"/>
      <c r="K124" s="862"/>
      <c r="L124" s="862"/>
      <c r="M124" s="861"/>
      <c r="R124" s="848"/>
    </row>
    <row r="125" spans="1:18" ht="14" thickBot="1">
      <c r="B125" s="841"/>
      <c r="C125" s="629"/>
      <c r="D125" s="629"/>
      <c r="F125" s="840"/>
      <c r="G125" s="860"/>
      <c r="I125" s="859"/>
      <c r="J125" s="858"/>
      <c r="K125" s="858"/>
      <c r="L125" s="857"/>
      <c r="M125" s="856"/>
      <c r="R125" s="848"/>
    </row>
    <row r="126" spans="1:18" ht="14" thickTop="1">
      <c r="B126" s="841"/>
      <c r="C126" s="629"/>
      <c r="D126" s="629"/>
      <c r="F126" s="840"/>
      <c r="G126" s="855"/>
      <c r="H126" s="854"/>
      <c r="I126" s="853"/>
      <c r="J126" s="853"/>
      <c r="K126" s="853"/>
      <c r="L126" s="853"/>
      <c r="M126" s="852"/>
      <c r="N126" s="851"/>
      <c r="R126" s="848"/>
    </row>
    <row r="127" spans="1:18">
      <c r="A127" s="565" t="s">
        <v>871</v>
      </c>
      <c r="B127" s="841">
        <v>1</v>
      </c>
      <c r="C127" s="629" t="s">
        <v>870</v>
      </c>
      <c r="D127" s="842">
        <v>650</v>
      </c>
      <c r="E127" s="840">
        <f t="shared" ref="E127:E136" si="2">B127*D127</f>
        <v>650</v>
      </c>
      <c r="G127" s="850"/>
      <c r="H127" s="629"/>
      <c r="M127" s="629"/>
      <c r="R127" s="848"/>
    </row>
    <row r="128" spans="1:18">
      <c r="A128" s="565" t="s">
        <v>869</v>
      </c>
      <c r="B128" s="841">
        <f>B111</f>
        <v>355</v>
      </c>
      <c r="C128" s="629" t="s">
        <v>854</v>
      </c>
      <c r="D128" s="842">
        <v>4.5</v>
      </c>
      <c r="E128" s="840">
        <f t="shared" si="2"/>
        <v>1597.5</v>
      </c>
      <c r="G128" s="850"/>
      <c r="R128" s="848"/>
    </row>
    <row r="129" spans="1:18">
      <c r="A129" s="565" t="s">
        <v>868</v>
      </c>
      <c r="B129" s="841">
        <v>0</v>
      </c>
      <c r="C129" s="629" t="s">
        <v>39</v>
      </c>
      <c r="D129" s="842">
        <v>5</v>
      </c>
      <c r="E129" s="840">
        <f t="shared" si="2"/>
        <v>0</v>
      </c>
      <c r="G129" s="849"/>
      <c r="R129" s="848"/>
    </row>
    <row r="130" spans="1:18">
      <c r="A130" s="565" t="s">
        <v>867</v>
      </c>
      <c r="B130" s="841">
        <v>0</v>
      </c>
      <c r="C130" s="629" t="s">
        <v>18</v>
      </c>
      <c r="D130" s="842">
        <v>4.5</v>
      </c>
      <c r="E130" s="840">
        <f t="shared" si="2"/>
        <v>0</v>
      </c>
      <c r="G130" s="849"/>
      <c r="R130" s="848"/>
    </row>
    <row r="131" spans="1:18" ht="14" thickBot="1">
      <c r="A131" s="565" t="s">
        <v>866</v>
      </c>
      <c r="B131" s="841">
        <f>B111*B117*B116</f>
        <v>798.75</v>
      </c>
      <c r="C131" s="629" t="s">
        <v>18</v>
      </c>
      <c r="D131" s="842">
        <v>15</v>
      </c>
      <c r="E131" s="840">
        <f t="shared" si="2"/>
        <v>11981.25</v>
      </c>
      <c r="F131" s="840"/>
      <c r="G131" s="847"/>
      <c r="H131" s="846"/>
      <c r="I131" s="846"/>
      <c r="J131" s="846"/>
      <c r="K131" s="846"/>
      <c r="L131" s="846"/>
      <c r="M131" s="846"/>
      <c r="N131" s="846"/>
      <c r="O131" s="846"/>
      <c r="P131" s="846"/>
      <c r="Q131" s="846"/>
      <c r="R131" s="845"/>
    </row>
    <row r="132" spans="1:18" ht="14" thickTop="1">
      <c r="A132" s="565" t="s">
        <v>865</v>
      </c>
      <c r="B132" s="841">
        <f>B131</f>
        <v>798.75</v>
      </c>
      <c r="C132" s="629" t="s">
        <v>18</v>
      </c>
      <c r="D132" s="842">
        <v>8.5</v>
      </c>
      <c r="E132" s="840">
        <f t="shared" si="2"/>
        <v>6789.375</v>
      </c>
      <c r="F132" s="840"/>
      <c r="G132" s="840"/>
    </row>
    <row r="133" spans="1:18">
      <c r="A133" s="565" t="s">
        <v>864</v>
      </c>
      <c r="B133" s="841">
        <f>B111*B117</f>
        <v>1597.5</v>
      </c>
      <c r="C133" s="629" t="s">
        <v>39</v>
      </c>
      <c r="D133" s="842">
        <v>1.25</v>
      </c>
      <c r="E133" s="840">
        <f t="shared" si="2"/>
        <v>1996.875</v>
      </c>
      <c r="F133" s="840"/>
      <c r="G133" s="840"/>
      <c r="J133" s="839"/>
      <c r="K133" s="839"/>
    </row>
    <row r="134" spans="1:18">
      <c r="A134" s="565" t="s">
        <v>863</v>
      </c>
      <c r="B134" s="841">
        <f>B117*0.3*B111</f>
        <v>479.24999999999994</v>
      </c>
      <c r="C134" s="629" t="s">
        <v>18</v>
      </c>
      <c r="D134" s="842">
        <f>39.83*0.3</f>
        <v>11.949</v>
      </c>
      <c r="E134" s="840">
        <f t="shared" si="2"/>
        <v>5726.5582499999991</v>
      </c>
      <c r="F134" s="840"/>
      <c r="G134" s="840"/>
    </row>
    <row r="135" spans="1:18">
      <c r="A135" s="565" t="s">
        <v>862</v>
      </c>
      <c r="B135" s="841">
        <f>B122</f>
        <v>887.5</v>
      </c>
      <c r="C135" s="629" t="s">
        <v>18</v>
      </c>
      <c r="D135" s="842">
        <v>12</v>
      </c>
      <c r="E135" s="840">
        <f t="shared" si="2"/>
        <v>10650</v>
      </c>
      <c r="F135" s="840"/>
    </row>
    <row r="136" spans="1:18">
      <c r="A136" s="565" t="s">
        <v>861</v>
      </c>
      <c r="B136" s="841">
        <v>0</v>
      </c>
      <c r="C136" s="629" t="s">
        <v>18</v>
      </c>
      <c r="D136" s="842">
        <f>'5. Cut &amp; Fill'!I144</f>
        <v>0</v>
      </c>
      <c r="E136" s="840">
        <f t="shared" si="2"/>
        <v>0</v>
      </c>
      <c r="F136" s="840" t="s">
        <v>860</v>
      </c>
    </row>
    <row r="137" spans="1:18">
      <c r="B137" s="843"/>
      <c r="F137" s="840"/>
    </row>
    <row r="138" spans="1:18">
      <c r="A138" s="565" t="s">
        <v>859</v>
      </c>
      <c r="B138" s="841">
        <f>B123</f>
        <v>1775</v>
      </c>
      <c r="C138" s="629" t="s">
        <v>39</v>
      </c>
      <c r="D138" s="842">
        <v>3.5</v>
      </c>
      <c r="E138" s="840">
        <f>B138*D138</f>
        <v>6212.5</v>
      </c>
    </row>
    <row r="139" spans="1:18">
      <c r="A139" s="565" t="s">
        <v>858</v>
      </c>
      <c r="B139" s="841">
        <f>B121</f>
        <v>1952.5</v>
      </c>
      <c r="C139" s="629" t="s">
        <v>18</v>
      </c>
      <c r="D139" s="842">
        <v>150</v>
      </c>
      <c r="E139" s="840">
        <f>B139*D139</f>
        <v>292875</v>
      </c>
    </row>
    <row r="140" spans="1:18">
      <c r="B140" s="841"/>
      <c r="C140" s="629"/>
      <c r="D140" s="842"/>
      <c r="E140" s="840"/>
    </row>
    <row r="141" spans="1:18">
      <c r="A141" s="565" t="s">
        <v>857</v>
      </c>
      <c r="B141" s="841">
        <f>B111/1.8</f>
        <v>197.22222222222223</v>
      </c>
      <c r="C141" s="629" t="s">
        <v>18</v>
      </c>
      <c r="D141" s="842">
        <v>26</v>
      </c>
      <c r="E141" s="840">
        <f>B141*D141</f>
        <v>5127.7777777777783</v>
      </c>
    </row>
    <row r="142" spans="1:18">
      <c r="A142" s="565" t="s">
        <v>856</v>
      </c>
      <c r="B142" s="841"/>
      <c r="C142" s="629"/>
      <c r="D142" s="629"/>
      <c r="E142" s="840"/>
    </row>
    <row r="143" spans="1:18">
      <c r="B143" s="841"/>
      <c r="C143" s="629"/>
      <c r="D143" s="629"/>
      <c r="E143" s="840"/>
    </row>
    <row r="144" spans="1:18">
      <c r="A144" s="565" t="s">
        <v>855</v>
      </c>
      <c r="B144" s="841">
        <f>B111</f>
        <v>355</v>
      </c>
      <c r="C144" s="629" t="s">
        <v>854</v>
      </c>
      <c r="D144" s="842">
        <v>42</v>
      </c>
      <c r="E144" s="840">
        <f>B144*D144</f>
        <v>14910</v>
      </c>
    </row>
    <row r="145" spans="1:18">
      <c r="B145" s="841"/>
      <c r="C145" s="629"/>
      <c r="D145" s="629"/>
      <c r="E145" s="840"/>
    </row>
    <row r="146" spans="1:18">
      <c r="B146" s="629"/>
      <c r="C146" s="629"/>
      <c r="D146" s="839" t="s">
        <v>141</v>
      </c>
      <c r="E146" s="838">
        <f>SUM(E127:E144)</f>
        <v>358516.83602777775</v>
      </c>
    </row>
    <row r="147" spans="1:18" ht="14" thickBot="1"/>
    <row r="148" spans="1:18" ht="14" thickTop="1">
      <c r="A148" s="837" t="s">
        <v>853</v>
      </c>
      <c r="B148" s="836">
        <f>E146/B111</f>
        <v>1009.9065803599374</v>
      </c>
      <c r="C148" s="835" t="s">
        <v>852</v>
      </c>
      <c r="D148" s="835"/>
      <c r="E148" s="834"/>
    </row>
    <row r="149" spans="1:18">
      <c r="A149" s="832"/>
      <c r="B149" s="831"/>
      <c r="C149" s="828"/>
      <c r="D149" s="828"/>
      <c r="E149" s="827"/>
    </row>
    <row r="150" spans="1:18">
      <c r="A150" s="830" t="s">
        <v>851</v>
      </c>
      <c r="B150" s="833">
        <f>E146/B113</f>
        <v>252.47664508998434</v>
      </c>
      <c r="C150" s="828" t="s">
        <v>39</v>
      </c>
      <c r="D150" s="828"/>
      <c r="E150" s="827"/>
    </row>
    <row r="151" spans="1:18">
      <c r="A151" s="832"/>
      <c r="B151" s="831"/>
      <c r="C151" s="828"/>
      <c r="D151" s="828"/>
      <c r="E151" s="827"/>
    </row>
    <row r="152" spans="1:18">
      <c r="A152" s="830" t="s">
        <v>850</v>
      </c>
      <c r="B152" s="829">
        <f>B148*B111</f>
        <v>358516.83602777775</v>
      </c>
      <c r="C152" s="828"/>
      <c r="D152" s="828"/>
      <c r="E152" s="827"/>
    </row>
    <row r="153" spans="1:18" ht="14" thickBot="1">
      <c r="A153" s="826"/>
      <c r="B153" s="825"/>
      <c r="C153" s="825"/>
      <c r="D153" s="825"/>
      <c r="E153" s="824"/>
    </row>
    <row r="154" spans="1:18" ht="14" thickTop="1"/>
    <row r="157" spans="1:18" ht="14" thickBot="1"/>
    <row r="158" spans="1:18" ht="14" thickTop="1">
      <c r="A158" s="565" t="s">
        <v>901</v>
      </c>
      <c r="B158" s="565" t="s">
        <v>910</v>
      </c>
      <c r="G158" s="887"/>
      <c r="H158" s="886"/>
      <c r="I158" s="886"/>
      <c r="J158" s="886"/>
      <c r="K158" s="886"/>
      <c r="L158" s="886"/>
      <c r="M158" s="886"/>
      <c r="N158" s="886"/>
      <c r="O158" s="886"/>
      <c r="P158" s="886"/>
      <c r="Q158" s="886"/>
      <c r="R158" s="885"/>
    </row>
    <row r="159" spans="1:18" ht="14" thickBot="1">
      <c r="G159" s="849"/>
      <c r="R159" s="848"/>
    </row>
    <row r="160" spans="1:18" ht="14" thickTop="1">
      <c r="A160" s="882"/>
      <c r="B160" s="881" t="s">
        <v>899</v>
      </c>
      <c r="C160" s="880"/>
      <c r="D160" s="629"/>
      <c r="G160" s="849"/>
      <c r="R160" s="848"/>
    </row>
    <row r="161" spans="1:18">
      <c r="A161" s="878" t="s">
        <v>897</v>
      </c>
      <c r="B161" s="877">
        <v>5</v>
      </c>
      <c r="C161" s="876" t="s">
        <v>4</v>
      </c>
      <c r="D161" s="629"/>
      <c r="G161" s="849"/>
      <c r="R161" s="848"/>
    </row>
    <row r="162" spans="1:18" ht="14" thickBot="1">
      <c r="A162" s="874" t="s">
        <v>894</v>
      </c>
      <c r="B162" s="873">
        <f>'10. Retaining Walls'!AC508</f>
        <v>40</v>
      </c>
      <c r="C162" s="872" t="s">
        <v>885</v>
      </c>
      <c r="D162" s="629"/>
      <c r="G162" s="849"/>
      <c r="R162" s="848"/>
    </row>
    <row r="163" spans="1:18" ht="14" thickTop="1">
      <c r="B163" s="869"/>
      <c r="C163" s="629"/>
      <c r="D163" s="629"/>
      <c r="G163" s="849"/>
      <c r="I163" s="1172"/>
      <c r="J163" s="1172"/>
      <c r="R163" s="848"/>
    </row>
    <row r="164" spans="1:18" ht="14" thickBot="1">
      <c r="A164" s="565" t="s">
        <v>892</v>
      </c>
      <c r="B164" s="629">
        <f>B161*B162</f>
        <v>200</v>
      </c>
      <c r="C164" s="629" t="s">
        <v>39</v>
      </c>
      <c r="D164" s="629"/>
      <c r="G164" s="849"/>
      <c r="R164" s="848"/>
    </row>
    <row r="165" spans="1:18" ht="14" thickTop="1">
      <c r="A165" s="565" t="s">
        <v>889</v>
      </c>
      <c r="B165" s="629">
        <f>B161</f>
        <v>5</v>
      </c>
      <c r="C165" s="629" t="s">
        <v>885</v>
      </c>
      <c r="D165" s="629"/>
      <c r="G165" s="849"/>
      <c r="I165" s="865"/>
      <c r="J165" s="883"/>
      <c r="K165" s="870"/>
      <c r="L165" s="870"/>
      <c r="R165" s="848"/>
    </row>
    <row r="166" spans="1:18">
      <c r="A166" s="565" t="s">
        <v>886</v>
      </c>
      <c r="B166" s="629">
        <f>B165</f>
        <v>5</v>
      </c>
      <c r="C166" s="629" t="s">
        <v>885</v>
      </c>
      <c r="D166" s="629"/>
      <c r="G166" s="849"/>
      <c r="I166" s="863"/>
      <c r="J166" s="879"/>
      <c r="K166" s="870"/>
      <c r="L166" s="870"/>
      <c r="R166" s="848"/>
    </row>
    <row r="167" spans="1:18">
      <c r="A167" s="565" t="s">
        <v>883</v>
      </c>
      <c r="B167" s="629">
        <v>0.5</v>
      </c>
      <c r="C167" s="629" t="s">
        <v>4</v>
      </c>
      <c r="D167" s="629"/>
      <c r="G167" s="849"/>
      <c r="I167" s="1173"/>
      <c r="J167" s="1174"/>
      <c r="K167" s="875"/>
      <c r="L167" s="870"/>
      <c r="R167" s="848"/>
    </row>
    <row r="168" spans="1:18" ht="14" thickBot="1">
      <c r="A168" s="565" t="s">
        <v>882</v>
      </c>
      <c r="B168" s="629">
        <f>B166+0.5</f>
        <v>5.5</v>
      </c>
      <c r="C168" s="629" t="s">
        <v>4</v>
      </c>
      <c r="D168" s="629"/>
      <c r="G168" s="868"/>
      <c r="I168" s="863"/>
      <c r="J168" s="862"/>
      <c r="K168" s="871"/>
      <c r="L168" s="870"/>
      <c r="R168" s="848"/>
    </row>
    <row r="169" spans="1:18" ht="14" thickTop="1">
      <c r="A169" s="565" t="s">
        <v>879</v>
      </c>
      <c r="B169" s="841">
        <f>B162*2*1</f>
        <v>80</v>
      </c>
      <c r="C169" s="629" t="s">
        <v>18</v>
      </c>
      <c r="D169" s="629"/>
      <c r="G169" s="849"/>
      <c r="I169" s="865"/>
      <c r="J169" s="864"/>
      <c r="K169" s="862"/>
      <c r="L169" s="867"/>
      <c r="R169" s="848"/>
    </row>
    <row r="170" spans="1:18">
      <c r="A170" s="565" t="s">
        <v>878</v>
      </c>
      <c r="B170" s="841">
        <f>B162*1.5*2</f>
        <v>120</v>
      </c>
      <c r="C170" s="629" t="s">
        <v>18</v>
      </c>
      <c r="D170" s="629"/>
      <c r="F170" s="629"/>
      <c r="G170" s="868"/>
      <c r="I170" s="863"/>
      <c r="J170" s="862"/>
      <c r="K170" s="862"/>
      <c r="L170" s="867"/>
      <c r="R170" s="848"/>
    </row>
    <row r="171" spans="1:18">
      <c r="A171" s="565" t="s">
        <v>877</v>
      </c>
      <c r="B171" s="841">
        <f>B162*1*2</f>
        <v>80</v>
      </c>
      <c r="C171" s="629" t="s">
        <v>18</v>
      </c>
      <c r="D171" s="629"/>
      <c r="F171" s="840"/>
      <c r="G171" s="849"/>
      <c r="I171" s="863"/>
      <c r="J171" s="862"/>
      <c r="K171" s="862"/>
      <c r="L171" s="867"/>
      <c r="R171" s="848"/>
    </row>
    <row r="172" spans="1:18" ht="14" thickBot="1">
      <c r="A172" s="565" t="s">
        <v>876</v>
      </c>
      <c r="B172" s="841">
        <f>B169+B170+B171</f>
        <v>280</v>
      </c>
      <c r="C172" s="629" t="s">
        <v>18</v>
      </c>
      <c r="D172" s="629"/>
      <c r="F172" s="840"/>
      <c r="G172" s="849"/>
      <c r="I172" s="859"/>
      <c r="J172" s="858"/>
      <c r="K172" s="858"/>
      <c r="L172" s="866"/>
      <c r="R172" s="848"/>
    </row>
    <row r="173" spans="1:18" ht="14" thickTop="1">
      <c r="A173" s="565" t="s">
        <v>874</v>
      </c>
      <c r="B173" s="841">
        <f>(0.25*2+0.75*1+1.25*1)*B162</f>
        <v>100</v>
      </c>
      <c r="C173" s="629" t="s">
        <v>18</v>
      </c>
      <c r="D173" s="629"/>
      <c r="F173" s="840"/>
      <c r="G173" s="849"/>
      <c r="I173" s="865"/>
      <c r="J173" s="864"/>
      <c r="K173" s="864"/>
      <c r="L173" s="862"/>
      <c r="M173" s="861"/>
      <c r="R173" s="848"/>
    </row>
    <row r="174" spans="1:18">
      <c r="A174" s="565" t="s">
        <v>859</v>
      </c>
      <c r="B174" s="841">
        <f>(0.5+1+0.5+1+0.5+1+0.5)*B162</f>
        <v>200</v>
      </c>
      <c r="C174" s="629" t="s">
        <v>39</v>
      </c>
      <c r="D174" s="629"/>
      <c r="F174" s="840"/>
      <c r="G174" s="849"/>
      <c r="I174" s="863"/>
      <c r="J174" s="1174"/>
      <c r="K174" s="1174"/>
      <c r="L174" s="862"/>
      <c r="M174" s="861"/>
      <c r="R174" s="848"/>
    </row>
    <row r="175" spans="1:18">
      <c r="B175" s="841"/>
      <c r="C175" s="629"/>
      <c r="D175" s="629"/>
      <c r="F175" s="840"/>
      <c r="G175" s="849"/>
      <c r="I175" s="863"/>
      <c r="J175" s="862"/>
      <c r="K175" s="862"/>
      <c r="L175" s="862"/>
      <c r="M175" s="861"/>
      <c r="R175" s="848"/>
    </row>
    <row r="176" spans="1:18" ht="14" thickBot="1">
      <c r="B176" s="841"/>
      <c r="C176" s="629"/>
      <c r="D176" s="629"/>
      <c r="F176" s="840"/>
      <c r="G176" s="860"/>
      <c r="I176" s="859"/>
      <c r="J176" s="858"/>
      <c r="K176" s="858"/>
      <c r="L176" s="857"/>
      <c r="M176" s="856"/>
      <c r="R176" s="848"/>
    </row>
    <row r="177" spans="1:18" ht="14" thickTop="1">
      <c r="B177" s="841"/>
      <c r="C177" s="629"/>
      <c r="D177" s="629"/>
      <c r="F177" s="840"/>
      <c r="G177" s="855"/>
      <c r="H177" s="854"/>
      <c r="I177" s="853"/>
      <c r="J177" s="853"/>
      <c r="K177" s="853"/>
      <c r="L177" s="853"/>
      <c r="M177" s="852"/>
      <c r="N177" s="851"/>
      <c r="R177" s="848"/>
    </row>
    <row r="178" spans="1:18">
      <c r="A178" s="565" t="s">
        <v>871</v>
      </c>
      <c r="B178" s="841">
        <v>1</v>
      </c>
      <c r="C178" s="629" t="s">
        <v>870</v>
      </c>
      <c r="D178" s="842">
        <v>650</v>
      </c>
      <c r="E178" s="840">
        <f t="shared" ref="E178:E187" si="3">B178*D178</f>
        <v>650</v>
      </c>
      <c r="G178" s="850"/>
      <c r="H178" s="629"/>
      <c r="M178" s="629"/>
      <c r="R178" s="848"/>
    </row>
    <row r="179" spans="1:18">
      <c r="A179" s="565" t="s">
        <v>869</v>
      </c>
      <c r="B179" s="841">
        <f>B162</f>
        <v>40</v>
      </c>
      <c r="C179" s="629" t="s">
        <v>854</v>
      </c>
      <c r="D179" s="842">
        <v>4.5</v>
      </c>
      <c r="E179" s="840">
        <f t="shared" si="3"/>
        <v>180</v>
      </c>
      <c r="G179" s="850"/>
      <c r="R179" s="848"/>
    </row>
    <row r="180" spans="1:18">
      <c r="A180" s="565" t="s">
        <v>868</v>
      </c>
      <c r="B180" s="841">
        <v>0</v>
      </c>
      <c r="C180" s="629" t="s">
        <v>39</v>
      </c>
      <c r="D180" s="842">
        <v>5</v>
      </c>
      <c r="E180" s="840">
        <f t="shared" si="3"/>
        <v>0</v>
      </c>
      <c r="G180" s="849"/>
      <c r="R180" s="848"/>
    </row>
    <row r="181" spans="1:18">
      <c r="A181" s="565" t="s">
        <v>867</v>
      </c>
      <c r="B181" s="841">
        <v>0</v>
      </c>
      <c r="C181" s="629" t="s">
        <v>18</v>
      </c>
      <c r="D181" s="842">
        <v>4.5</v>
      </c>
      <c r="E181" s="840">
        <f t="shared" si="3"/>
        <v>0</v>
      </c>
      <c r="G181" s="849"/>
      <c r="R181" s="848"/>
    </row>
    <row r="182" spans="1:18" ht="14" thickBot="1">
      <c r="A182" s="565" t="s">
        <v>866</v>
      </c>
      <c r="B182" s="841">
        <f>B162*B168*B167</f>
        <v>110</v>
      </c>
      <c r="C182" s="629" t="s">
        <v>18</v>
      </c>
      <c r="D182" s="842">
        <v>15</v>
      </c>
      <c r="E182" s="840">
        <f t="shared" si="3"/>
        <v>1650</v>
      </c>
      <c r="F182" s="840"/>
      <c r="G182" s="847"/>
      <c r="H182" s="846"/>
      <c r="I182" s="846"/>
      <c r="J182" s="846"/>
      <c r="K182" s="846"/>
      <c r="L182" s="846"/>
      <c r="M182" s="846"/>
      <c r="N182" s="846"/>
      <c r="O182" s="846"/>
      <c r="P182" s="846"/>
      <c r="Q182" s="846"/>
      <c r="R182" s="845"/>
    </row>
    <row r="183" spans="1:18" ht="14" thickTop="1">
      <c r="A183" s="565" t="s">
        <v>865</v>
      </c>
      <c r="B183" s="841">
        <f>B182</f>
        <v>110</v>
      </c>
      <c r="C183" s="629" t="s">
        <v>18</v>
      </c>
      <c r="D183" s="842">
        <v>8.5</v>
      </c>
      <c r="E183" s="840">
        <f t="shared" si="3"/>
        <v>935</v>
      </c>
      <c r="F183" s="840"/>
      <c r="G183" s="840"/>
    </row>
    <row r="184" spans="1:18">
      <c r="A184" s="565" t="s">
        <v>864</v>
      </c>
      <c r="B184" s="841">
        <f>B162*B168</f>
        <v>220</v>
      </c>
      <c r="C184" s="629" t="s">
        <v>39</v>
      </c>
      <c r="D184" s="842">
        <v>1.25</v>
      </c>
      <c r="E184" s="840">
        <f t="shared" si="3"/>
        <v>275</v>
      </c>
      <c r="F184" s="840"/>
      <c r="G184" s="840"/>
      <c r="J184" s="839"/>
      <c r="K184" s="839"/>
    </row>
    <row r="185" spans="1:18">
      <c r="A185" s="565" t="s">
        <v>863</v>
      </c>
      <c r="B185" s="841">
        <f>B168*0.3*B162</f>
        <v>66</v>
      </c>
      <c r="C185" s="629" t="s">
        <v>18</v>
      </c>
      <c r="D185" s="842">
        <f>39.83*0.3</f>
        <v>11.949</v>
      </c>
      <c r="E185" s="840">
        <f t="shared" si="3"/>
        <v>788.63400000000001</v>
      </c>
      <c r="F185" s="840"/>
      <c r="G185" s="840"/>
    </row>
    <row r="186" spans="1:18">
      <c r="A186" s="565" t="s">
        <v>862</v>
      </c>
      <c r="B186" s="841">
        <f>B173</f>
        <v>100</v>
      </c>
      <c r="C186" s="629" t="s">
        <v>18</v>
      </c>
      <c r="D186" s="842">
        <v>12</v>
      </c>
      <c r="E186" s="840">
        <f t="shared" si="3"/>
        <v>1200</v>
      </c>
      <c r="F186" s="840"/>
    </row>
    <row r="187" spans="1:18">
      <c r="A187" s="565" t="s">
        <v>861</v>
      </c>
      <c r="B187" s="841">
        <v>0</v>
      </c>
      <c r="C187" s="629" t="s">
        <v>18</v>
      </c>
      <c r="D187" s="842">
        <f>'5. Cut &amp; Fill'!I195</f>
        <v>0</v>
      </c>
      <c r="E187" s="840">
        <f t="shared" si="3"/>
        <v>0</v>
      </c>
      <c r="F187" s="840" t="s">
        <v>860</v>
      </c>
    </row>
    <row r="188" spans="1:18">
      <c r="B188" s="843"/>
      <c r="F188" s="840"/>
    </row>
    <row r="189" spans="1:18">
      <c r="A189" s="565" t="s">
        <v>859</v>
      </c>
      <c r="B189" s="841">
        <f>B174</f>
        <v>200</v>
      </c>
      <c r="C189" s="629" t="s">
        <v>39</v>
      </c>
      <c r="D189" s="842">
        <v>3.5</v>
      </c>
      <c r="E189" s="840">
        <f>B189*D189</f>
        <v>700</v>
      </c>
    </row>
    <row r="190" spans="1:18">
      <c r="A190" s="565" t="s">
        <v>858</v>
      </c>
      <c r="B190" s="841">
        <f>B172</f>
        <v>280</v>
      </c>
      <c r="C190" s="629" t="s">
        <v>18</v>
      </c>
      <c r="D190" s="842">
        <v>150</v>
      </c>
      <c r="E190" s="840">
        <f>B190*D190</f>
        <v>42000</v>
      </c>
    </row>
    <row r="191" spans="1:18">
      <c r="B191" s="841"/>
      <c r="C191" s="629"/>
      <c r="D191" s="842"/>
      <c r="E191" s="840"/>
    </row>
    <row r="192" spans="1:18">
      <c r="A192" s="565" t="s">
        <v>857</v>
      </c>
      <c r="B192" s="841">
        <f>B162/1.8</f>
        <v>22.222222222222221</v>
      </c>
      <c r="C192" s="629" t="s">
        <v>18</v>
      </c>
      <c r="D192" s="842">
        <v>26</v>
      </c>
      <c r="E192" s="840">
        <f>B192*D192</f>
        <v>577.77777777777771</v>
      </c>
    </row>
    <row r="193" spans="1:5">
      <c r="A193" s="565" t="s">
        <v>856</v>
      </c>
      <c r="B193" s="841"/>
      <c r="C193" s="629"/>
      <c r="D193" s="629"/>
      <c r="E193" s="840"/>
    </row>
    <row r="194" spans="1:5">
      <c r="B194" s="841"/>
      <c r="C194" s="629"/>
      <c r="D194" s="629"/>
      <c r="E194" s="840"/>
    </row>
    <row r="195" spans="1:5">
      <c r="A195" s="565" t="s">
        <v>855</v>
      </c>
      <c r="B195" s="841">
        <f>B162</f>
        <v>40</v>
      </c>
      <c r="C195" s="629" t="s">
        <v>854</v>
      </c>
      <c r="D195" s="842">
        <v>42</v>
      </c>
      <c r="E195" s="840">
        <f>B195*D195</f>
        <v>1680</v>
      </c>
    </row>
    <row r="196" spans="1:5">
      <c r="B196" s="841"/>
      <c r="C196" s="629"/>
      <c r="D196" s="629"/>
      <c r="E196" s="840"/>
    </row>
    <row r="197" spans="1:5">
      <c r="B197" s="629"/>
      <c r="C197" s="629"/>
      <c r="D197" s="839" t="s">
        <v>141</v>
      </c>
      <c r="E197" s="838">
        <f>SUM(E178:E195)</f>
        <v>50636.411777777779</v>
      </c>
    </row>
    <row r="198" spans="1:5" ht="14" thickBot="1"/>
    <row r="199" spans="1:5" ht="14" thickTop="1">
      <c r="A199" s="837" t="s">
        <v>853</v>
      </c>
      <c r="B199" s="836">
        <f>E197/B162</f>
        <v>1265.9102944444444</v>
      </c>
      <c r="C199" s="835" t="s">
        <v>852</v>
      </c>
      <c r="D199" s="835"/>
      <c r="E199" s="834"/>
    </row>
    <row r="200" spans="1:5">
      <c r="A200" s="832"/>
      <c r="B200" s="831"/>
      <c r="C200" s="828"/>
      <c r="D200" s="828"/>
      <c r="E200" s="827"/>
    </row>
    <row r="201" spans="1:5">
      <c r="A201" s="830" t="s">
        <v>851</v>
      </c>
      <c r="B201" s="833">
        <f>E197/B164</f>
        <v>253.18205888888889</v>
      </c>
      <c r="C201" s="828" t="s">
        <v>39</v>
      </c>
      <c r="D201" s="828"/>
      <c r="E201" s="827"/>
    </row>
    <row r="202" spans="1:5">
      <c r="A202" s="832"/>
      <c r="B202" s="831"/>
      <c r="C202" s="828"/>
      <c r="D202" s="828"/>
      <c r="E202" s="827"/>
    </row>
    <row r="203" spans="1:5">
      <c r="A203" s="830" t="s">
        <v>850</v>
      </c>
      <c r="B203" s="829">
        <f>B199*B162</f>
        <v>50636.411777777772</v>
      </c>
      <c r="C203" s="828"/>
      <c r="D203" s="828"/>
      <c r="E203" s="827"/>
    </row>
    <row r="204" spans="1:5" ht="14" thickBot="1">
      <c r="A204" s="826"/>
      <c r="B204" s="825"/>
      <c r="C204" s="825"/>
      <c r="D204" s="825"/>
      <c r="E204" s="824"/>
    </row>
    <row r="205" spans="1:5" ht="14" thickTop="1"/>
  </sheetData>
  <mergeCells count="12">
    <mergeCell ref="I167:J167"/>
    <mergeCell ref="J174:K174"/>
    <mergeCell ref="I62:J62"/>
    <mergeCell ref="I66:J66"/>
    <mergeCell ref="J73:K73"/>
    <mergeCell ref="I112:J112"/>
    <mergeCell ref="I116:J116"/>
    <mergeCell ref="I7:J7"/>
    <mergeCell ref="I11:J11"/>
    <mergeCell ref="J18:K18"/>
    <mergeCell ref="J123:K123"/>
    <mergeCell ref="I163:J163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271B7-48F8-C949-97AC-BF5EC381D361}">
  <sheetPr>
    <tabColor theme="9" tint="0.39997558519241921"/>
  </sheetPr>
  <dimension ref="A1:U271"/>
  <sheetViews>
    <sheetView workbookViewId="0">
      <selection activeCell="L13" sqref="L13"/>
    </sheetView>
  </sheetViews>
  <sheetFormatPr baseColWidth="10" defaultColWidth="9.1640625" defaultRowHeight="15"/>
  <cols>
    <col min="1" max="1" width="3.33203125" customWidth="1"/>
    <col min="2" max="2" width="5.1640625" customWidth="1"/>
    <col min="3" max="3" width="4.5" customWidth="1"/>
    <col min="4" max="4" width="20.5" customWidth="1"/>
    <col min="8" max="8" width="2.5" customWidth="1"/>
    <col min="9" max="9" width="9.83203125" bestFit="1" customWidth="1"/>
    <col min="10" max="10" width="4.6640625" customWidth="1"/>
    <col min="11" max="11" width="1.6640625" customWidth="1"/>
    <col min="12" max="12" width="13.5" bestFit="1" customWidth="1"/>
    <col min="13" max="13" width="2" customWidth="1"/>
    <col min="14" max="14" width="12.83203125" customWidth="1"/>
    <col min="15" max="15" width="3.33203125" customWidth="1"/>
    <col min="16" max="16" width="2.5" customWidth="1"/>
    <col min="18" max="18" width="12.5" bestFit="1" customWidth="1"/>
    <col min="19" max="19" width="12.6640625" customWidth="1"/>
    <col min="20" max="20" width="12.5" bestFit="1" customWidth="1"/>
    <col min="21" max="21" width="11.5" bestFit="1" customWidth="1"/>
  </cols>
  <sheetData>
    <row r="1" spans="1:21" ht="23">
      <c r="A1" s="262"/>
      <c r="B1" s="262"/>
      <c r="C1" s="263" t="s">
        <v>275</v>
      </c>
      <c r="D1" s="262"/>
      <c r="E1" s="264"/>
      <c r="F1" s="265"/>
      <c r="G1" s="265"/>
      <c r="H1" s="262"/>
      <c r="I1" s="266"/>
      <c r="J1" s="267"/>
      <c r="K1" s="262"/>
      <c r="L1" s="268" t="s">
        <v>276</v>
      </c>
      <c r="M1" s="262"/>
      <c r="N1" s="262"/>
      <c r="O1" s="262"/>
    </row>
    <row r="2" spans="1:21" ht="16" thickBot="1">
      <c r="A2" s="262"/>
      <c r="B2" s="262"/>
      <c r="C2" s="262" t="s">
        <v>277</v>
      </c>
      <c r="D2" s="262"/>
      <c r="E2" s="264"/>
      <c r="F2" s="734" t="s">
        <v>771</v>
      </c>
      <c r="G2" s="735"/>
      <c r="H2" s="736"/>
      <c r="I2" s="266"/>
      <c r="J2" s="267"/>
      <c r="K2" s="262"/>
      <c r="L2" s="737" t="s">
        <v>772</v>
      </c>
      <c r="M2" s="262"/>
      <c r="N2" s="262"/>
      <c r="O2" s="262"/>
    </row>
    <row r="3" spans="1:21">
      <c r="A3" s="269"/>
      <c r="B3" s="270"/>
      <c r="C3" s="270"/>
      <c r="D3" s="270"/>
      <c r="E3" s="270"/>
      <c r="F3" s="270"/>
      <c r="G3" s="270"/>
      <c r="H3" s="271"/>
      <c r="I3" s="270"/>
      <c r="J3" s="270"/>
      <c r="K3" s="270"/>
      <c r="L3" s="270"/>
      <c r="M3" s="270"/>
      <c r="N3" s="270"/>
      <c r="O3" s="272"/>
    </row>
    <row r="4" spans="1:21">
      <c r="A4" s="273"/>
      <c r="B4" s="274" t="s">
        <v>278</v>
      </c>
      <c r="C4" s="275"/>
      <c r="D4" s="275"/>
      <c r="E4" s="276"/>
      <c r="F4" s="262"/>
      <c r="G4" s="262"/>
      <c r="H4" s="262"/>
      <c r="I4" s="262"/>
      <c r="J4" s="1175" t="s">
        <v>279</v>
      </c>
      <c r="K4" s="1176"/>
      <c r="L4" s="1176"/>
      <c r="M4" s="1177"/>
      <c r="N4" s="738">
        <f>N39/G5</f>
        <v>854.9316598219184</v>
      </c>
      <c r="O4" s="277"/>
      <c r="R4" s="739" t="s">
        <v>773</v>
      </c>
      <c r="S4" s="739" t="s">
        <v>774</v>
      </c>
      <c r="T4" s="739" t="s">
        <v>775</v>
      </c>
      <c r="U4" s="739" t="s">
        <v>776</v>
      </c>
    </row>
    <row r="5" spans="1:21">
      <c r="A5" s="273"/>
      <c r="B5" s="262"/>
      <c r="C5" s="278" t="s">
        <v>280</v>
      </c>
      <c r="D5" s="262"/>
      <c r="E5" s="264"/>
      <c r="F5" s="740">
        <v>5.5</v>
      </c>
      <c r="G5" s="740">
        <f>'Dwelling Mix'!AA98</f>
        <v>2892.5</v>
      </c>
      <c r="H5" s="262"/>
      <c r="I5" s="266"/>
      <c r="J5" s="267"/>
      <c r="K5" s="262"/>
      <c r="L5" s="265"/>
      <c r="M5" s="262"/>
      <c r="N5" s="262"/>
      <c r="O5" s="277"/>
    </row>
    <row r="6" spans="1:21">
      <c r="A6" s="273"/>
      <c r="B6" s="262"/>
      <c r="C6" s="262" t="s">
        <v>281</v>
      </c>
      <c r="D6" s="262"/>
      <c r="E6" s="279" t="s">
        <v>37</v>
      </c>
      <c r="F6" s="280" t="s">
        <v>207</v>
      </c>
      <c r="G6" s="280" t="s">
        <v>38</v>
      </c>
      <c r="H6" s="262"/>
      <c r="I6" s="281" t="s">
        <v>282</v>
      </c>
      <c r="J6" s="267" t="s">
        <v>5</v>
      </c>
      <c r="K6" s="267"/>
      <c r="L6" s="280" t="s">
        <v>2</v>
      </c>
      <c r="M6" s="262"/>
      <c r="N6" s="267" t="s">
        <v>283</v>
      </c>
      <c r="O6" s="277"/>
    </row>
    <row r="7" spans="1:21" ht="29">
      <c r="A7" s="273"/>
      <c r="B7" s="262"/>
      <c r="C7" s="262"/>
      <c r="D7" s="741" t="s">
        <v>777</v>
      </c>
      <c r="E7" s="742">
        <v>0.15</v>
      </c>
      <c r="F7" s="265">
        <f>F5+0.25+0.25</f>
        <v>6</v>
      </c>
      <c r="G7" s="265">
        <f>$G$5</f>
        <v>2892.5</v>
      </c>
      <c r="H7" s="262"/>
      <c r="I7" s="266">
        <f>E7*F7*G7</f>
        <v>2603.2499999999995</v>
      </c>
      <c r="J7" s="267" t="s">
        <v>18</v>
      </c>
      <c r="K7" s="262"/>
      <c r="L7" s="743">
        <f>'Footpath Construction'!L7</f>
        <v>5.2121058823529411</v>
      </c>
      <c r="M7" s="262"/>
      <c r="N7" s="282">
        <f>I7*L7</f>
        <v>13568.414638235292</v>
      </c>
      <c r="O7" s="277"/>
    </row>
    <row r="8" spans="1:21">
      <c r="A8" s="273"/>
      <c r="B8" s="262"/>
      <c r="C8" s="262"/>
      <c r="D8" s="262" t="s">
        <v>285</v>
      </c>
      <c r="E8" s="742">
        <f>E7</f>
        <v>0.15</v>
      </c>
      <c r="F8" s="265">
        <f>F7</f>
        <v>6</v>
      </c>
      <c r="G8" s="265">
        <f>$G$43</f>
        <v>225</v>
      </c>
      <c r="H8" s="262"/>
      <c r="I8" s="266">
        <f>E8*F8*G8</f>
        <v>202.49999999999997</v>
      </c>
      <c r="J8" s="267" t="s">
        <v>18</v>
      </c>
      <c r="K8" s="262"/>
      <c r="L8" s="743">
        <f>'8b. SW Attenuation'!I73</f>
        <v>37.441176470588232</v>
      </c>
      <c r="M8" s="262"/>
      <c r="N8" s="282">
        <f>I8*L8</f>
        <v>7581.8382352941162</v>
      </c>
      <c r="O8" s="277"/>
    </row>
    <row r="9" spans="1:21">
      <c r="A9" s="273"/>
      <c r="B9" s="262"/>
      <c r="C9" s="262"/>
      <c r="D9" s="262"/>
      <c r="E9" s="264"/>
      <c r="F9" s="265"/>
      <c r="G9" s="265"/>
      <c r="H9" s="262"/>
      <c r="I9" s="266"/>
      <c r="J9" s="267"/>
      <c r="K9" s="262"/>
      <c r="L9" s="265"/>
      <c r="M9" s="262"/>
      <c r="N9" s="282"/>
      <c r="O9" s="277"/>
    </row>
    <row r="10" spans="1:21">
      <c r="A10" s="273"/>
      <c r="B10" s="262"/>
      <c r="C10" s="262" t="s">
        <v>286</v>
      </c>
      <c r="D10" s="262"/>
      <c r="E10" s="264"/>
      <c r="F10" s="265"/>
      <c r="G10" s="265"/>
      <c r="H10" s="262"/>
      <c r="I10" s="266"/>
      <c r="J10" s="267"/>
      <c r="K10" s="262"/>
      <c r="L10" s="265"/>
      <c r="M10" s="262"/>
      <c r="N10" s="282"/>
      <c r="O10" s="277"/>
    </row>
    <row r="11" spans="1:21">
      <c r="A11" s="273"/>
      <c r="B11" s="262"/>
      <c r="C11" s="262"/>
      <c r="D11" s="262" t="s">
        <v>287</v>
      </c>
      <c r="E11" s="264">
        <f>E14+E15+E17+E18</f>
        <v>0.8600000000000001</v>
      </c>
      <c r="F11" s="265">
        <f>F5</f>
        <v>5.5</v>
      </c>
      <c r="G11" s="265">
        <f>$G$5</f>
        <v>2892.5</v>
      </c>
      <c r="H11" s="262"/>
      <c r="I11" s="266">
        <f>E11*F11*G11</f>
        <v>13681.525000000001</v>
      </c>
      <c r="J11" s="267" t="s">
        <v>18</v>
      </c>
      <c r="K11" s="262"/>
      <c r="L11" s="743">
        <v>8.2383999999999986</v>
      </c>
      <c r="M11" s="262"/>
      <c r="N11" s="282">
        <f t="shared" ref="N11:N23" si="0">I11*L11</f>
        <v>112713.87555999999</v>
      </c>
      <c r="O11" s="277"/>
    </row>
    <row r="12" spans="1:21">
      <c r="A12" s="273"/>
      <c r="B12" s="262"/>
      <c r="C12" s="262"/>
      <c r="D12" s="262" t="s">
        <v>285</v>
      </c>
      <c r="E12" s="264">
        <f>E11</f>
        <v>0.8600000000000001</v>
      </c>
      <c r="F12" s="265">
        <f>F11</f>
        <v>5.5</v>
      </c>
      <c r="G12" s="265">
        <f>$G$5</f>
        <v>2892.5</v>
      </c>
      <c r="H12" s="262"/>
      <c r="I12" s="266">
        <f>E12*F12*G12</f>
        <v>13681.525000000001</v>
      </c>
      <c r="J12" s="267" t="s">
        <v>18</v>
      </c>
      <c r="K12" s="262"/>
      <c r="L12" s="743">
        <f>L8</f>
        <v>37.441176470588232</v>
      </c>
      <c r="M12" s="262"/>
      <c r="N12" s="282">
        <f t="shared" si="0"/>
        <v>512252.39191176469</v>
      </c>
      <c r="O12" s="277"/>
    </row>
    <row r="13" spans="1:21">
      <c r="A13" s="273"/>
      <c r="B13" s="262"/>
      <c r="C13" s="262"/>
      <c r="D13" s="262"/>
      <c r="E13" s="264"/>
      <c r="F13" s="265"/>
      <c r="G13" s="265"/>
      <c r="H13" s="262"/>
      <c r="I13" s="266"/>
      <c r="J13" s="267"/>
      <c r="K13" s="262"/>
      <c r="L13" s="265"/>
      <c r="M13" s="262"/>
      <c r="N13" s="282"/>
      <c r="O13" s="277"/>
    </row>
    <row r="14" spans="1:21">
      <c r="A14" s="273"/>
      <c r="B14" s="262"/>
      <c r="C14" s="262"/>
      <c r="D14" s="262" t="s">
        <v>288</v>
      </c>
      <c r="E14" s="742">
        <v>0.45</v>
      </c>
      <c r="F14" s="265">
        <f>F5+1</f>
        <v>6.5</v>
      </c>
      <c r="G14" s="265">
        <f>$G$5</f>
        <v>2892.5</v>
      </c>
      <c r="H14" s="262"/>
      <c r="I14" s="266">
        <f>F14*G14</f>
        <v>18801.25</v>
      </c>
      <c r="J14" s="267" t="s">
        <v>39</v>
      </c>
      <c r="K14" s="262"/>
      <c r="L14" s="743">
        <v>17.926475294117648</v>
      </c>
      <c r="M14" s="262"/>
      <c r="N14" s="282">
        <f t="shared" si="0"/>
        <v>337040.14362352941</v>
      </c>
      <c r="O14" s="277"/>
    </row>
    <row r="15" spans="1:21">
      <c r="A15" s="273"/>
      <c r="B15" s="262"/>
      <c r="C15" s="262"/>
      <c r="D15" s="262" t="s">
        <v>289</v>
      </c>
      <c r="E15" s="742">
        <v>0.15</v>
      </c>
      <c r="F15" s="265">
        <f>F5</f>
        <v>5.5</v>
      </c>
      <c r="G15" s="265">
        <f>$G$5</f>
        <v>2892.5</v>
      </c>
      <c r="H15" s="262"/>
      <c r="I15" s="266">
        <f>F15*G15</f>
        <v>15908.75</v>
      </c>
      <c r="J15" s="267" t="s">
        <v>39</v>
      </c>
      <c r="K15" s="262"/>
      <c r="L15" s="743">
        <v>8.6392376470588221</v>
      </c>
      <c r="M15" s="262"/>
      <c r="N15" s="282">
        <f t="shared" si="0"/>
        <v>137439.47191764702</v>
      </c>
      <c r="O15" s="277"/>
    </row>
    <row r="16" spans="1:21">
      <c r="A16" s="273"/>
      <c r="B16" s="262"/>
      <c r="C16" s="262"/>
      <c r="D16" s="262"/>
      <c r="E16" s="264"/>
      <c r="F16" s="265"/>
      <c r="G16" s="265"/>
      <c r="H16" s="262"/>
      <c r="I16" s="266"/>
      <c r="J16" s="267"/>
      <c r="K16" s="262"/>
      <c r="L16" s="265"/>
      <c r="M16" s="262"/>
      <c r="N16" s="282"/>
      <c r="O16" s="277"/>
    </row>
    <row r="17" spans="1:19">
      <c r="A17" s="273"/>
      <c r="B17" s="262"/>
      <c r="C17" s="262"/>
      <c r="D17" s="262" t="s">
        <v>290</v>
      </c>
      <c r="E17" s="742">
        <v>0.2</v>
      </c>
      <c r="F17" s="265">
        <f>F5</f>
        <v>5.5</v>
      </c>
      <c r="G17" s="265">
        <f>$G$5</f>
        <v>2892.5</v>
      </c>
      <c r="H17" s="262"/>
      <c r="I17" s="266">
        <f>F17*G17</f>
        <v>15908.75</v>
      </c>
      <c r="J17" s="267" t="s">
        <v>39</v>
      </c>
      <c r="K17" s="262"/>
      <c r="L17" s="744">
        <v>22</v>
      </c>
      <c r="M17" s="262"/>
      <c r="N17" s="282">
        <f t="shared" si="0"/>
        <v>349992.5</v>
      </c>
      <c r="O17" s="277"/>
    </row>
    <row r="18" spans="1:19">
      <c r="A18" s="273"/>
      <c r="B18" s="262"/>
      <c r="C18" s="262"/>
      <c r="D18" s="262" t="s">
        <v>291</v>
      </c>
      <c r="E18" s="742">
        <v>0.06</v>
      </c>
      <c r="F18" s="265">
        <f>F5</f>
        <v>5.5</v>
      </c>
      <c r="G18" s="265">
        <f>$G$5</f>
        <v>2892.5</v>
      </c>
      <c r="H18" s="262"/>
      <c r="I18" s="266">
        <f>F18*G18</f>
        <v>15908.75</v>
      </c>
      <c r="J18" s="267" t="s">
        <v>39</v>
      </c>
      <c r="K18" s="262"/>
      <c r="L18" s="744">
        <v>7.5</v>
      </c>
      <c r="M18" s="262"/>
      <c r="N18" s="282">
        <f t="shared" si="0"/>
        <v>119315.625</v>
      </c>
      <c r="O18" s="277"/>
    </row>
    <row r="19" spans="1:19">
      <c r="A19" s="273"/>
      <c r="B19" s="262"/>
      <c r="C19" s="262"/>
      <c r="D19" s="262" t="s">
        <v>292</v>
      </c>
      <c r="E19" s="264"/>
      <c r="F19" s="265">
        <f>F5</f>
        <v>5.5</v>
      </c>
      <c r="G19" s="265">
        <f>$G$5</f>
        <v>2892.5</v>
      </c>
      <c r="H19" s="262"/>
      <c r="I19" s="266">
        <f>F19*G19</f>
        <v>15908.75</v>
      </c>
      <c r="J19" s="267" t="s">
        <v>39</v>
      </c>
      <c r="K19" s="262"/>
      <c r="L19" s="744">
        <v>0.5</v>
      </c>
      <c r="M19" s="262"/>
      <c r="N19" s="282">
        <f t="shared" si="0"/>
        <v>7954.375</v>
      </c>
      <c r="O19" s="277"/>
      <c r="R19" s="745">
        <f>SUM(N7:N19)</f>
        <v>1597858.6358864706</v>
      </c>
    </row>
    <row r="20" spans="1:19">
      <c r="A20" s="273"/>
      <c r="B20" s="262"/>
      <c r="C20" s="262"/>
      <c r="D20" s="262"/>
      <c r="E20" s="264"/>
      <c r="F20" s="265"/>
      <c r="G20" s="265"/>
      <c r="H20" s="262"/>
      <c r="I20" s="266"/>
      <c r="J20" s="267"/>
      <c r="K20" s="262"/>
      <c r="L20" s="265"/>
      <c r="M20" s="262"/>
      <c r="N20" s="282"/>
      <c r="O20" s="277"/>
    </row>
    <row r="21" spans="1:19">
      <c r="A21" s="273"/>
      <c r="B21" s="262"/>
      <c r="C21" s="262" t="s">
        <v>293</v>
      </c>
      <c r="D21" s="262"/>
      <c r="E21" s="264"/>
      <c r="F21" s="265"/>
      <c r="G21" s="265"/>
      <c r="H21" s="262"/>
      <c r="I21" s="266"/>
      <c r="J21" s="267"/>
      <c r="K21" s="262"/>
      <c r="L21" s="265"/>
      <c r="M21" s="262"/>
      <c r="N21" s="282"/>
      <c r="O21" s="277"/>
    </row>
    <row r="22" spans="1:19">
      <c r="A22" s="273"/>
      <c r="B22" s="262"/>
      <c r="C22" s="262"/>
      <c r="D22" s="262" t="s">
        <v>294</v>
      </c>
      <c r="E22" s="264"/>
      <c r="F22" s="265"/>
      <c r="G22" s="265">
        <f>$G$5*2*0.75</f>
        <v>4338.75</v>
      </c>
      <c r="H22" s="262"/>
      <c r="I22" s="266">
        <f>G22</f>
        <v>4338.75</v>
      </c>
      <c r="J22" s="267" t="s">
        <v>4</v>
      </c>
      <c r="K22" s="262"/>
      <c r="L22" s="743">
        <v>36.795450642034204</v>
      </c>
      <c r="M22" s="262"/>
      <c r="N22" s="282">
        <f t="shared" si="0"/>
        <v>159646.26147312589</v>
      </c>
      <c r="O22" s="277"/>
    </row>
    <row r="23" spans="1:19">
      <c r="A23" s="273"/>
      <c r="B23" s="262"/>
      <c r="C23" s="262"/>
      <c r="D23" s="262" t="s">
        <v>295</v>
      </c>
      <c r="E23" s="264"/>
      <c r="F23" s="265"/>
      <c r="G23" s="265">
        <f>$G$5*2*0.25</f>
        <v>1446.25</v>
      </c>
      <c r="H23" s="262"/>
      <c r="I23" s="266">
        <f>G23</f>
        <v>1446.25</v>
      </c>
      <c r="J23" s="267" t="s">
        <v>4</v>
      </c>
      <c r="K23" s="262"/>
      <c r="L23" s="743">
        <f>L22+2.1</f>
        <v>38.895450642034206</v>
      </c>
      <c r="M23" s="262"/>
      <c r="N23" s="282">
        <f t="shared" si="0"/>
        <v>56252.545491041972</v>
      </c>
      <c r="O23" s="277"/>
    </row>
    <row r="24" spans="1:19">
      <c r="A24" s="273"/>
      <c r="B24" s="262"/>
      <c r="C24" s="262"/>
      <c r="D24" s="262"/>
      <c r="E24" s="264"/>
      <c r="F24" s="265"/>
      <c r="G24" s="265"/>
      <c r="H24" s="262"/>
      <c r="I24" s="266"/>
      <c r="J24" s="267"/>
      <c r="K24" s="262"/>
      <c r="L24" s="265"/>
      <c r="M24" s="262"/>
      <c r="N24" s="262"/>
      <c r="O24" s="277"/>
    </row>
    <row r="25" spans="1:19">
      <c r="A25" s="273"/>
      <c r="B25" s="262"/>
      <c r="C25" s="262" t="s">
        <v>296</v>
      </c>
      <c r="D25" s="262"/>
      <c r="E25" s="264"/>
      <c r="F25" s="265"/>
      <c r="G25" s="265"/>
      <c r="H25" s="262"/>
      <c r="I25" s="266"/>
      <c r="J25" s="267"/>
      <c r="K25" s="262"/>
      <c r="L25" s="265"/>
      <c r="M25" s="262"/>
      <c r="N25" s="262"/>
      <c r="O25" s="277"/>
    </row>
    <row r="26" spans="1:19">
      <c r="A26" s="273"/>
      <c r="B26" s="262"/>
      <c r="C26" s="262"/>
      <c r="D26" s="262" t="s">
        <v>297</v>
      </c>
      <c r="E26" s="264"/>
      <c r="F26" s="265"/>
      <c r="G26" s="265">
        <f>$G$5*2*0.75</f>
        <v>4338.75</v>
      </c>
      <c r="H26" s="262"/>
      <c r="I26" s="266">
        <f>G26</f>
        <v>4338.75</v>
      </c>
      <c r="J26" s="267" t="s">
        <v>4</v>
      </c>
      <c r="K26" s="262"/>
      <c r="L26" s="743">
        <v>40.945580498575666</v>
      </c>
      <c r="M26" s="262"/>
      <c r="N26" s="282">
        <f t="shared" ref="N26:N37" si="1">I26*L26</f>
        <v>177652.63738819517</v>
      </c>
      <c r="O26" s="277"/>
    </row>
    <row r="27" spans="1:19">
      <c r="A27" s="273"/>
      <c r="B27" s="262"/>
      <c r="C27" s="262"/>
      <c r="D27" s="262" t="s">
        <v>298</v>
      </c>
      <c r="E27" s="264"/>
      <c r="F27" s="265"/>
      <c r="G27" s="265">
        <f>$G$5*2*0.25</f>
        <v>1446.25</v>
      </c>
      <c r="H27" s="262"/>
      <c r="I27" s="266">
        <f>G27</f>
        <v>1446.25</v>
      </c>
      <c r="J27" s="267" t="s">
        <v>4</v>
      </c>
      <c r="K27" s="262"/>
      <c r="L27" s="743">
        <f>L26+2.1</f>
        <v>43.045580498575667</v>
      </c>
      <c r="M27" s="262"/>
      <c r="N27" s="282">
        <f t="shared" si="1"/>
        <v>62254.67079606506</v>
      </c>
      <c r="O27" s="277"/>
      <c r="S27" s="745">
        <f>SUM(N22:N27)</f>
        <v>455806.11514842807</v>
      </c>
    </row>
    <row r="28" spans="1:19">
      <c r="A28" s="273"/>
      <c r="B28" s="262"/>
      <c r="C28" s="262"/>
      <c r="D28" s="262"/>
      <c r="E28" s="264"/>
      <c r="F28" s="265"/>
      <c r="G28" s="265"/>
      <c r="H28" s="262"/>
      <c r="I28" s="266"/>
      <c r="J28" s="267"/>
      <c r="K28" s="262"/>
      <c r="L28" s="265"/>
      <c r="M28" s="262"/>
      <c r="N28" s="282"/>
      <c r="O28" s="277"/>
    </row>
    <row r="29" spans="1:19">
      <c r="A29" s="273"/>
      <c r="B29" s="262"/>
      <c r="C29" s="278" t="s">
        <v>299</v>
      </c>
      <c r="D29" s="262"/>
      <c r="E29" s="264"/>
      <c r="F29" s="265"/>
      <c r="G29" s="265"/>
      <c r="H29" s="262"/>
      <c r="I29" s="266"/>
      <c r="J29" s="267"/>
      <c r="K29" s="262"/>
      <c r="L29" s="265"/>
      <c r="M29" s="262"/>
      <c r="N29" s="282"/>
      <c r="O29" s="277"/>
    </row>
    <row r="30" spans="1:19">
      <c r="A30" s="273"/>
      <c r="B30" s="262"/>
      <c r="C30" s="262"/>
      <c r="D30" s="262" t="s">
        <v>300</v>
      </c>
      <c r="E30" s="264" t="s">
        <v>301</v>
      </c>
      <c r="F30" s="265"/>
      <c r="G30" s="265">
        <f>$G$5</f>
        <v>2892.5</v>
      </c>
      <c r="H30" s="262"/>
      <c r="I30" s="266">
        <f>((G30/35)+1)*2</f>
        <v>167.28571428571428</v>
      </c>
      <c r="J30" s="267" t="s">
        <v>19</v>
      </c>
      <c r="K30" s="262"/>
      <c r="L30" s="744">
        <v>112</v>
      </c>
      <c r="M30" s="262"/>
      <c r="N30" s="282">
        <f t="shared" si="1"/>
        <v>18736</v>
      </c>
      <c r="O30" s="277"/>
    </row>
    <row r="31" spans="1:19">
      <c r="A31" s="273"/>
      <c r="B31" s="262"/>
      <c r="C31" s="262"/>
      <c r="D31" s="262" t="s">
        <v>302</v>
      </c>
      <c r="E31" s="264" t="s">
        <v>303</v>
      </c>
      <c r="F31" s="265"/>
      <c r="G31" s="265">
        <f>$G$5</f>
        <v>2892.5</v>
      </c>
      <c r="H31" s="262"/>
      <c r="I31" s="266">
        <f>((G31/20)+1)*2</f>
        <v>291.25</v>
      </c>
      <c r="J31" s="267" t="s">
        <v>19</v>
      </c>
      <c r="K31" s="262"/>
      <c r="L31" s="744">
        <v>98</v>
      </c>
      <c r="M31" s="262"/>
      <c r="N31" s="282">
        <f t="shared" si="1"/>
        <v>28542.5</v>
      </c>
      <c r="O31" s="277"/>
    </row>
    <row r="32" spans="1:19">
      <c r="A32" s="273"/>
      <c r="B32" s="262"/>
      <c r="C32" s="262"/>
      <c r="D32" s="262"/>
      <c r="E32" s="264"/>
      <c r="F32" s="265"/>
      <c r="G32" s="265"/>
      <c r="H32" s="262"/>
      <c r="I32" s="266"/>
      <c r="J32" s="267"/>
      <c r="K32" s="262"/>
      <c r="L32" s="265"/>
      <c r="M32" s="262"/>
      <c r="N32" s="282"/>
      <c r="O32" s="277"/>
    </row>
    <row r="33" spans="1:21">
      <c r="A33" s="273"/>
      <c r="B33" s="262"/>
      <c r="C33" s="262"/>
      <c r="D33" s="262" t="s">
        <v>304</v>
      </c>
      <c r="E33" s="264"/>
      <c r="F33" s="265">
        <f>$F$5</f>
        <v>5.5</v>
      </c>
      <c r="G33" s="265">
        <f>$G$5</f>
        <v>2892.5</v>
      </c>
      <c r="H33" s="262"/>
      <c r="I33" s="266">
        <f>F33*G33</f>
        <v>15908.75</v>
      </c>
      <c r="J33" s="267" t="s">
        <v>39</v>
      </c>
      <c r="K33" s="262"/>
      <c r="L33" s="744">
        <v>0.88</v>
      </c>
      <c r="M33" s="262"/>
      <c r="N33" s="282">
        <f t="shared" si="1"/>
        <v>13999.7</v>
      </c>
      <c r="O33" s="277"/>
    </row>
    <row r="34" spans="1:21">
      <c r="A34" s="273"/>
      <c r="B34" s="262"/>
      <c r="C34" s="262"/>
      <c r="D34" s="262" t="s">
        <v>305</v>
      </c>
      <c r="E34" s="742">
        <v>0.05</v>
      </c>
      <c r="F34" s="265">
        <f>$F$5</f>
        <v>5.5</v>
      </c>
      <c r="G34" s="265">
        <f>$G$5</f>
        <v>2892.5</v>
      </c>
      <c r="H34" s="262"/>
      <c r="I34" s="266">
        <f>F34*G34</f>
        <v>15908.75</v>
      </c>
      <c r="J34" s="267" t="s">
        <v>39</v>
      </c>
      <c r="K34" s="262"/>
      <c r="L34" s="744">
        <v>12.5</v>
      </c>
      <c r="M34" s="262"/>
      <c r="N34" s="282">
        <f t="shared" si="1"/>
        <v>198859.375</v>
      </c>
      <c r="O34" s="277"/>
      <c r="T34" s="745">
        <f>SUM(N30:N34)</f>
        <v>260137.57500000001</v>
      </c>
    </row>
    <row r="35" spans="1:21">
      <c r="A35" s="273"/>
      <c r="B35" s="262"/>
      <c r="C35" s="262"/>
      <c r="D35" s="262"/>
      <c r="E35" s="264"/>
      <c r="F35" s="265"/>
      <c r="G35" s="265"/>
      <c r="H35" s="262"/>
      <c r="I35" s="266"/>
      <c r="J35" s="267"/>
      <c r="K35" s="262"/>
      <c r="L35" s="265"/>
      <c r="M35" s="262"/>
      <c r="N35" s="282"/>
      <c r="O35" s="277"/>
    </row>
    <row r="36" spans="1:21">
      <c r="A36" s="273"/>
      <c r="B36" s="262"/>
      <c r="C36" s="262"/>
      <c r="D36" s="262" t="s">
        <v>306</v>
      </c>
      <c r="E36" s="264"/>
      <c r="F36" s="265">
        <v>2</v>
      </c>
      <c r="G36" s="265">
        <f>$G$5</f>
        <v>2892.5</v>
      </c>
      <c r="H36" s="262"/>
      <c r="I36" s="266">
        <f>G36*F36</f>
        <v>5785</v>
      </c>
      <c r="J36" s="267" t="s">
        <v>4</v>
      </c>
      <c r="K36" s="262"/>
      <c r="L36" s="744">
        <v>2.5</v>
      </c>
      <c r="M36" s="262"/>
      <c r="N36" s="282">
        <f t="shared" si="1"/>
        <v>14462.5</v>
      </c>
      <c r="O36" s="277"/>
    </row>
    <row r="37" spans="1:21">
      <c r="A37" s="273"/>
      <c r="B37" s="262"/>
      <c r="C37" s="262"/>
      <c r="D37" s="262" t="s">
        <v>307</v>
      </c>
      <c r="E37" s="264"/>
      <c r="F37" s="265"/>
      <c r="G37" s="265"/>
      <c r="H37" s="262"/>
      <c r="I37" s="266">
        <f>(G5/30)*2</f>
        <v>192.83333333333334</v>
      </c>
      <c r="J37" s="267" t="s">
        <v>19</v>
      </c>
      <c r="K37" s="262"/>
      <c r="L37" s="744">
        <v>750</v>
      </c>
      <c r="M37" s="262"/>
      <c r="N37" s="282">
        <f t="shared" si="1"/>
        <v>144625</v>
      </c>
      <c r="O37" s="277"/>
      <c r="U37" s="745">
        <f>SUM(N36:N37)</f>
        <v>159087.5</v>
      </c>
    </row>
    <row r="38" spans="1:21">
      <c r="A38" s="273"/>
      <c r="B38" s="262"/>
      <c r="C38" s="262"/>
      <c r="D38" s="262"/>
      <c r="E38" s="264"/>
      <c r="F38" s="265"/>
      <c r="G38" s="265"/>
      <c r="H38" s="262"/>
      <c r="I38" s="266"/>
      <c r="J38" s="267"/>
      <c r="K38" s="262"/>
      <c r="L38" s="265"/>
      <c r="M38" s="262"/>
      <c r="N38" s="262"/>
      <c r="O38" s="277"/>
    </row>
    <row r="39" spans="1:21" ht="16" thickBot="1">
      <c r="A39" s="273"/>
      <c r="B39" s="262"/>
      <c r="C39" s="262"/>
      <c r="D39" s="262"/>
      <c r="E39" s="264"/>
      <c r="F39" s="265"/>
      <c r="G39" s="265"/>
      <c r="H39" s="262"/>
      <c r="I39" s="266"/>
      <c r="J39" s="267"/>
      <c r="K39" s="283"/>
      <c r="L39" s="284" t="s">
        <v>308</v>
      </c>
      <c r="M39" s="283" t="s">
        <v>309</v>
      </c>
      <c r="N39" s="285">
        <f>SUM(N7:N37)</f>
        <v>2472889.8260348989</v>
      </c>
      <c r="O39" s="277"/>
    </row>
    <row r="40" spans="1:21" ht="17" thickTop="1" thickBot="1">
      <c r="A40" s="286"/>
      <c r="B40" s="287"/>
      <c r="C40" s="287"/>
      <c r="D40" s="287"/>
      <c r="E40" s="288"/>
      <c r="F40" s="289"/>
      <c r="G40" s="289"/>
      <c r="H40" s="287"/>
      <c r="I40" s="290"/>
      <c r="J40" s="291"/>
      <c r="K40" s="287"/>
      <c r="L40" s="289"/>
      <c r="M40" s="287"/>
      <c r="N40" s="287"/>
      <c r="O40" s="292"/>
    </row>
    <row r="41" spans="1:21">
      <c r="A41" s="269"/>
      <c r="B41" s="270"/>
      <c r="C41" s="270"/>
      <c r="D41" s="270"/>
      <c r="E41" s="270"/>
      <c r="F41" s="270"/>
      <c r="G41" s="270"/>
      <c r="H41" s="271"/>
      <c r="I41" s="270"/>
      <c r="J41" s="270"/>
      <c r="K41" s="270"/>
      <c r="L41" s="270"/>
      <c r="M41" s="270"/>
      <c r="N41" s="270"/>
      <c r="O41" s="272"/>
    </row>
    <row r="42" spans="1:21">
      <c r="A42" s="273"/>
      <c r="B42" s="274" t="s">
        <v>310</v>
      </c>
      <c r="C42" s="275"/>
      <c r="D42" s="275"/>
      <c r="E42" s="276"/>
      <c r="F42" s="275"/>
      <c r="G42" s="262"/>
      <c r="H42" s="262"/>
      <c r="I42" s="262"/>
      <c r="J42" s="1175" t="s">
        <v>279</v>
      </c>
      <c r="K42" s="1176"/>
      <c r="L42" s="1176"/>
      <c r="M42" s="1177"/>
      <c r="N42" s="738">
        <f>N78/G43</f>
        <v>901.47897624200402</v>
      </c>
      <c r="O42" s="277"/>
      <c r="R42" s="739" t="s">
        <v>773</v>
      </c>
      <c r="S42" s="739" t="s">
        <v>774</v>
      </c>
      <c r="T42" s="739" t="s">
        <v>775</v>
      </c>
      <c r="U42" s="739" t="s">
        <v>776</v>
      </c>
    </row>
    <row r="43" spans="1:21">
      <c r="A43" s="273"/>
      <c r="B43" s="262"/>
      <c r="C43" s="278" t="s">
        <v>280</v>
      </c>
      <c r="D43" s="262"/>
      <c r="E43" s="264"/>
      <c r="F43" s="740">
        <v>5.5</v>
      </c>
      <c r="G43" s="740">
        <v>225</v>
      </c>
      <c r="H43" s="262"/>
      <c r="I43" s="266"/>
      <c r="J43" s="267"/>
      <c r="K43" s="262"/>
      <c r="L43" s="265"/>
      <c r="M43" s="262"/>
      <c r="N43" s="262"/>
      <c r="O43" s="277"/>
    </row>
    <row r="44" spans="1:21">
      <c r="A44" s="273"/>
      <c r="B44" s="262"/>
      <c r="C44" s="262" t="s">
        <v>281</v>
      </c>
      <c r="D44" s="262"/>
      <c r="E44" s="279" t="s">
        <v>37</v>
      </c>
      <c r="F44" s="280" t="s">
        <v>207</v>
      </c>
      <c r="G44" s="280" t="s">
        <v>38</v>
      </c>
      <c r="H44" s="262"/>
      <c r="I44" s="281" t="s">
        <v>282</v>
      </c>
      <c r="J44" s="267" t="s">
        <v>5</v>
      </c>
      <c r="K44" s="267"/>
      <c r="L44" s="280" t="s">
        <v>2</v>
      </c>
      <c r="M44" s="262"/>
      <c r="N44" s="267" t="s">
        <v>283</v>
      </c>
      <c r="O44" s="277"/>
    </row>
    <row r="45" spans="1:21">
      <c r="A45" s="273"/>
      <c r="B45" s="262"/>
      <c r="C45" s="262"/>
      <c r="D45" s="262" t="s">
        <v>284</v>
      </c>
      <c r="E45" s="742">
        <v>0.15</v>
      </c>
      <c r="F45" s="265">
        <f>F43+0.25+0.25</f>
        <v>6</v>
      </c>
      <c r="G45" s="265">
        <f>$G$43</f>
        <v>225</v>
      </c>
      <c r="H45" s="262"/>
      <c r="I45" s="266">
        <f>E45*F45*G45</f>
        <v>202.49999999999997</v>
      </c>
      <c r="J45" s="267" t="s">
        <v>18</v>
      </c>
      <c r="K45" s="262"/>
      <c r="L45" s="265">
        <f>L7</f>
        <v>5.2121058823529411</v>
      </c>
      <c r="M45" s="262"/>
      <c r="N45" s="282">
        <f>I45*L45</f>
        <v>1055.4514411764703</v>
      </c>
      <c r="O45" s="277"/>
    </row>
    <row r="46" spans="1:21">
      <c r="A46" s="273"/>
      <c r="B46" s="262"/>
      <c r="C46" s="262"/>
      <c r="D46" s="262" t="s">
        <v>285</v>
      </c>
      <c r="E46" s="742">
        <f>E45</f>
        <v>0.15</v>
      </c>
      <c r="F46" s="265">
        <f>F45</f>
        <v>6</v>
      </c>
      <c r="G46" s="265">
        <f t="shared" ref="G46:G57" si="2">$G$43</f>
        <v>225</v>
      </c>
      <c r="H46" s="262"/>
      <c r="I46" s="266">
        <f>E46*F46*G46</f>
        <v>202.49999999999997</v>
      </c>
      <c r="J46" s="267" t="s">
        <v>18</v>
      </c>
      <c r="K46" s="262"/>
      <c r="L46" s="743">
        <f>L8</f>
        <v>37.441176470588232</v>
      </c>
      <c r="M46" s="262"/>
      <c r="N46" s="282">
        <f>I46*L46</f>
        <v>7581.8382352941162</v>
      </c>
      <c r="O46" s="277"/>
    </row>
    <row r="47" spans="1:21">
      <c r="A47" s="273"/>
      <c r="B47" s="262"/>
      <c r="C47" s="262"/>
      <c r="D47" s="262"/>
      <c r="E47" s="264"/>
      <c r="F47" s="265"/>
      <c r="G47" s="265"/>
      <c r="H47" s="262"/>
      <c r="I47" s="266"/>
      <c r="J47" s="267"/>
      <c r="K47" s="262"/>
      <c r="L47" s="265"/>
      <c r="M47" s="262"/>
      <c r="N47" s="282"/>
      <c r="O47" s="277"/>
    </row>
    <row r="48" spans="1:21">
      <c r="A48" s="273"/>
      <c r="B48" s="262"/>
      <c r="C48" s="262" t="s">
        <v>286</v>
      </c>
      <c r="D48" s="262"/>
      <c r="E48" s="264"/>
      <c r="F48" s="265"/>
      <c r="G48" s="265"/>
      <c r="H48" s="262"/>
      <c r="I48" s="266"/>
      <c r="J48" s="267"/>
      <c r="K48" s="262"/>
      <c r="L48" s="265"/>
      <c r="M48" s="262"/>
      <c r="N48" s="282"/>
      <c r="O48" s="277"/>
    </row>
    <row r="49" spans="1:18">
      <c r="A49" s="273"/>
      <c r="B49" s="262"/>
      <c r="C49" s="262"/>
      <c r="D49" s="262" t="s">
        <v>287</v>
      </c>
      <c r="E49" s="264">
        <f>+E52+E53+E55+E56</f>
        <v>0.8600000000000001</v>
      </c>
      <c r="F49" s="265">
        <f>F43</f>
        <v>5.5</v>
      </c>
      <c r="G49" s="265">
        <f t="shared" si="2"/>
        <v>225</v>
      </c>
      <c r="H49" s="262"/>
      <c r="I49" s="266">
        <f>E49*F49*G49</f>
        <v>1064.25</v>
      </c>
      <c r="J49" s="267" t="s">
        <v>18</v>
      </c>
      <c r="K49" s="262"/>
      <c r="L49" s="265">
        <f t="shared" ref="L49:L71" si="3">L11</f>
        <v>8.2383999999999986</v>
      </c>
      <c r="M49" s="262"/>
      <c r="N49" s="282">
        <f>I49*L49</f>
        <v>8767.7171999999991</v>
      </c>
      <c r="O49" s="277"/>
    </row>
    <row r="50" spans="1:18">
      <c r="A50" s="273"/>
      <c r="B50" s="262"/>
      <c r="C50" s="262"/>
      <c r="D50" s="262" t="s">
        <v>285</v>
      </c>
      <c r="E50" s="264">
        <f>E49</f>
        <v>0.8600000000000001</v>
      </c>
      <c r="F50" s="265">
        <f>F49</f>
        <v>5.5</v>
      </c>
      <c r="G50" s="265">
        <f t="shared" si="2"/>
        <v>225</v>
      </c>
      <c r="H50" s="262"/>
      <c r="I50" s="266">
        <f>E50*F50*G50</f>
        <v>1064.25</v>
      </c>
      <c r="J50" s="267" t="s">
        <v>18</v>
      </c>
      <c r="K50" s="262"/>
      <c r="L50" s="743">
        <f>L46</f>
        <v>37.441176470588232</v>
      </c>
      <c r="M50" s="262"/>
      <c r="N50" s="282">
        <f>I50*L50</f>
        <v>39846.772058823524</v>
      </c>
      <c r="O50" s="277"/>
    </row>
    <row r="51" spans="1:18">
      <c r="A51" s="273"/>
      <c r="B51" s="262"/>
      <c r="C51" s="262"/>
      <c r="D51" s="262"/>
      <c r="E51" s="264"/>
      <c r="F51" s="265"/>
      <c r="G51" s="265"/>
      <c r="H51" s="262"/>
      <c r="I51" s="266"/>
      <c r="J51" s="267"/>
      <c r="K51" s="262"/>
      <c r="L51" s="265"/>
      <c r="M51" s="262"/>
      <c r="N51" s="282"/>
      <c r="O51" s="277"/>
    </row>
    <row r="52" spans="1:18">
      <c r="A52" s="273"/>
      <c r="B52" s="262"/>
      <c r="C52" s="262"/>
      <c r="D52" s="262" t="s">
        <v>288</v>
      </c>
      <c r="E52" s="742">
        <f>E14</f>
        <v>0.45</v>
      </c>
      <c r="F52" s="265">
        <f>F43+1</f>
        <v>6.5</v>
      </c>
      <c r="G52" s="265">
        <f t="shared" si="2"/>
        <v>225</v>
      </c>
      <c r="H52" s="262"/>
      <c r="I52" s="266">
        <f>F52*G52</f>
        <v>1462.5</v>
      </c>
      <c r="J52" s="267" t="s">
        <v>39</v>
      </c>
      <c r="K52" s="262"/>
      <c r="L52" s="265">
        <f t="shared" si="3"/>
        <v>17.926475294117648</v>
      </c>
      <c r="M52" s="262"/>
      <c r="N52" s="282">
        <f>I52*L52</f>
        <v>26217.470117647059</v>
      </c>
      <c r="O52" s="277"/>
    </row>
    <row r="53" spans="1:18">
      <c r="A53" s="273"/>
      <c r="B53" s="262"/>
      <c r="C53" s="262"/>
      <c r="D53" s="262" t="s">
        <v>289</v>
      </c>
      <c r="E53" s="742">
        <v>0.15</v>
      </c>
      <c r="F53" s="265">
        <f>F43</f>
        <v>5.5</v>
      </c>
      <c r="G53" s="265">
        <f t="shared" si="2"/>
        <v>225</v>
      </c>
      <c r="H53" s="262"/>
      <c r="I53" s="266">
        <f>F53*G53</f>
        <v>1237.5</v>
      </c>
      <c r="J53" s="267" t="s">
        <v>39</v>
      </c>
      <c r="K53" s="262"/>
      <c r="L53" s="265">
        <f t="shared" si="3"/>
        <v>8.6392376470588221</v>
      </c>
      <c r="M53" s="262"/>
      <c r="N53" s="282">
        <f>I53*L53</f>
        <v>10691.056588235293</v>
      </c>
      <c r="O53" s="277"/>
    </row>
    <row r="54" spans="1:18">
      <c r="A54" s="273"/>
      <c r="B54" s="262"/>
      <c r="C54" s="262"/>
      <c r="D54" s="262"/>
      <c r="E54" s="264"/>
      <c r="F54" s="265"/>
      <c r="G54" s="265"/>
      <c r="H54" s="262"/>
      <c r="I54" s="266"/>
      <c r="J54" s="267"/>
      <c r="K54" s="262"/>
      <c r="L54" s="265"/>
      <c r="M54" s="262"/>
      <c r="N54" s="282"/>
      <c r="O54" s="277"/>
    </row>
    <row r="55" spans="1:18">
      <c r="A55" s="273"/>
      <c r="B55" s="262"/>
      <c r="C55" s="262"/>
      <c r="D55" s="262" t="s">
        <v>290</v>
      </c>
      <c r="E55" s="742">
        <v>0.2</v>
      </c>
      <c r="F55" s="265">
        <f>F43</f>
        <v>5.5</v>
      </c>
      <c r="G55" s="265">
        <f t="shared" si="2"/>
        <v>225</v>
      </c>
      <c r="H55" s="262"/>
      <c r="I55" s="266">
        <f>F55*G55</f>
        <v>1237.5</v>
      </c>
      <c r="J55" s="267" t="s">
        <v>39</v>
      </c>
      <c r="K55" s="262"/>
      <c r="L55" s="265">
        <f t="shared" si="3"/>
        <v>22</v>
      </c>
      <c r="M55" s="262"/>
      <c r="N55" s="282">
        <f>I55*L55</f>
        <v>27225</v>
      </c>
      <c r="O55" s="277"/>
    </row>
    <row r="56" spans="1:18">
      <c r="A56" s="273"/>
      <c r="B56" s="262"/>
      <c r="C56" s="262"/>
      <c r="D56" s="262" t="s">
        <v>291</v>
      </c>
      <c r="E56" s="742">
        <v>0.06</v>
      </c>
      <c r="F56" s="265">
        <f>F43</f>
        <v>5.5</v>
      </c>
      <c r="G56" s="265">
        <f t="shared" si="2"/>
        <v>225</v>
      </c>
      <c r="H56" s="262"/>
      <c r="I56" s="266">
        <f>F56*G56</f>
        <v>1237.5</v>
      </c>
      <c r="J56" s="267" t="s">
        <v>39</v>
      </c>
      <c r="K56" s="262"/>
      <c r="L56" s="265">
        <f t="shared" si="3"/>
        <v>7.5</v>
      </c>
      <c r="M56" s="262"/>
      <c r="N56" s="282">
        <f>I56*L56</f>
        <v>9281.25</v>
      </c>
      <c r="O56" s="277"/>
    </row>
    <row r="57" spans="1:18">
      <c r="A57" s="273"/>
      <c r="B57" s="262"/>
      <c r="C57" s="262"/>
      <c r="D57" s="262" t="s">
        <v>292</v>
      </c>
      <c r="E57" s="264"/>
      <c r="F57" s="265">
        <f>F43</f>
        <v>5.5</v>
      </c>
      <c r="G57" s="265">
        <f t="shared" si="2"/>
        <v>225</v>
      </c>
      <c r="H57" s="262"/>
      <c r="I57" s="266">
        <f>F57*G57</f>
        <v>1237.5</v>
      </c>
      <c r="J57" s="267" t="s">
        <v>39</v>
      </c>
      <c r="K57" s="262"/>
      <c r="L57" s="265">
        <f t="shared" si="3"/>
        <v>0.5</v>
      </c>
      <c r="M57" s="262"/>
      <c r="N57" s="282">
        <f>I57*L57</f>
        <v>618.75</v>
      </c>
      <c r="O57" s="277"/>
      <c r="R57" s="745">
        <f>SUM(N45:N57)</f>
        <v>131285.30564117647</v>
      </c>
    </row>
    <row r="58" spans="1:18">
      <c r="A58" s="273"/>
      <c r="B58" s="262"/>
      <c r="C58" s="262"/>
      <c r="D58" s="262"/>
      <c r="E58" s="264"/>
      <c r="F58" s="265"/>
      <c r="G58" s="265"/>
      <c r="H58" s="262"/>
      <c r="I58" s="266"/>
      <c r="J58" s="267"/>
      <c r="K58" s="262"/>
      <c r="L58" s="265"/>
      <c r="M58" s="262"/>
      <c r="N58" s="282"/>
      <c r="O58" s="277"/>
    </row>
    <row r="59" spans="1:18">
      <c r="A59" s="273"/>
      <c r="B59" s="262"/>
      <c r="C59" s="262" t="s">
        <v>293</v>
      </c>
      <c r="D59" s="262"/>
      <c r="E59" s="264"/>
      <c r="F59" s="265"/>
      <c r="G59" s="265"/>
      <c r="H59" s="262"/>
      <c r="I59" s="266"/>
      <c r="J59" s="267"/>
      <c r="K59" s="262"/>
      <c r="L59" s="265"/>
      <c r="M59" s="262"/>
      <c r="N59" s="282"/>
      <c r="O59" s="277"/>
    </row>
    <row r="60" spans="1:18">
      <c r="A60" s="273"/>
      <c r="B60" s="262"/>
      <c r="C60" s="262"/>
      <c r="D60" s="262" t="s">
        <v>294</v>
      </c>
      <c r="E60" s="264"/>
      <c r="F60" s="265"/>
      <c r="G60" s="265">
        <f>$G$43*2*0.75</f>
        <v>337.5</v>
      </c>
      <c r="H60" s="262"/>
      <c r="I60" s="266">
        <f>G60</f>
        <v>337.5</v>
      </c>
      <c r="J60" s="267" t="s">
        <v>4</v>
      </c>
      <c r="K60" s="262"/>
      <c r="L60" s="265">
        <f t="shared" si="3"/>
        <v>36.795450642034204</v>
      </c>
      <c r="M60" s="262"/>
      <c r="N60" s="282">
        <f>I60*L60</f>
        <v>12418.464591686545</v>
      </c>
      <c r="O60" s="277"/>
    </row>
    <row r="61" spans="1:18">
      <c r="A61" s="273"/>
      <c r="B61" s="262"/>
      <c r="C61" s="262"/>
      <c r="D61" s="262" t="s">
        <v>295</v>
      </c>
      <c r="E61" s="264"/>
      <c r="F61" s="265"/>
      <c r="G61" s="265">
        <f>$G$43*2*0.25</f>
        <v>112.5</v>
      </c>
      <c r="H61" s="262"/>
      <c r="I61" s="266">
        <f>G61</f>
        <v>112.5</v>
      </c>
      <c r="J61" s="267" t="s">
        <v>4</v>
      </c>
      <c r="K61" s="262"/>
      <c r="L61" s="265">
        <f t="shared" si="3"/>
        <v>38.895450642034206</v>
      </c>
      <c r="M61" s="262"/>
      <c r="N61" s="282">
        <f>I61*L61</f>
        <v>4375.7381972288485</v>
      </c>
      <c r="O61" s="277"/>
    </row>
    <row r="62" spans="1:18">
      <c r="A62" s="273"/>
      <c r="B62" s="262"/>
      <c r="C62" s="262"/>
      <c r="D62" s="262"/>
      <c r="E62" s="264"/>
      <c r="F62" s="265"/>
      <c r="G62" s="265"/>
      <c r="H62" s="262"/>
      <c r="I62" s="266"/>
      <c r="J62" s="267"/>
      <c r="K62" s="262"/>
      <c r="L62" s="265"/>
      <c r="M62" s="262"/>
      <c r="N62" s="262"/>
      <c r="O62" s="277"/>
    </row>
    <row r="63" spans="1:18">
      <c r="A63" s="273"/>
      <c r="B63" s="262"/>
      <c r="C63" s="262" t="s">
        <v>296</v>
      </c>
      <c r="D63" s="262"/>
      <c r="E63" s="264"/>
      <c r="F63" s="265"/>
      <c r="G63" s="265"/>
      <c r="H63" s="262"/>
      <c r="I63" s="266"/>
      <c r="J63" s="267"/>
      <c r="K63" s="262"/>
      <c r="L63" s="265"/>
      <c r="M63" s="262"/>
      <c r="N63" s="262"/>
      <c r="O63" s="277"/>
    </row>
    <row r="64" spans="1:18">
      <c r="A64" s="273"/>
      <c r="B64" s="262"/>
      <c r="C64" s="262"/>
      <c r="D64" s="262" t="s">
        <v>297</v>
      </c>
      <c r="E64" s="264"/>
      <c r="F64" s="265"/>
      <c r="G64" s="265">
        <f>$G$43*2*0.75</f>
        <v>337.5</v>
      </c>
      <c r="H64" s="262"/>
      <c r="I64" s="266">
        <f>G64</f>
        <v>337.5</v>
      </c>
      <c r="J64" s="267" t="s">
        <v>4</v>
      </c>
      <c r="K64" s="262"/>
      <c r="L64" s="265">
        <f t="shared" si="3"/>
        <v>40.945580498575666</v>
      </c>
      <c r="M64" s="262"/>
      <c r="N64" s="282">
        <f>I64*L64</f>
        <v>13819.133418269288</v>
      </c>
      <c r="O64" s="277"/>
    </row>
    <row r="65" spans="1:21">
      <c r="A65" s="273"/>
      <c r="B65" s="262"/>
      <c r="C65" s="262"/>
      <c r="D65" s="262" t="s">
        <v>298</v>
      </c>
      <c r="E65" s="264"/>
      <c r="F65" s="265"/>
      <c r="G65" s="265">
        <f>$G$43*2*0.25</f>
        <v>112.5</v>
      </c>
      <c r="H65" s="262"/>
      <c r="I65" s="266">
        <f>G65</f>
        <v>112.5</v>
      </c>
      <c r="J65" s="267" t="s">
        <v>4</v>
      </c>
      <c r="K65" s="262"/>
      <c r="L65" s="265">
        <f t="shared" si="3"/>
        <v>43.045580498575667</v>
      </c>
      <c r="M65" s="262"/>
      <c r="N65" s="282">
        <f>I65*L65</f>
        <v>4842.627806089763</v>
      </c>
      <c r="O65" s="277"/>
      <c r="S65" s="745">
        <f>SUM(N60:N65)</f>
        <v>35455.964013274446</v>
      </c>
    </row>
    <row r="66" spans="1:21">
      <c r="A66" s="273"/>
      <c r="B66" s="262"/>
      <c r="C66" s="262"/>
      <c r="D66" s="262"/>
      <c r="E66" s="264"/>
      <c r="F66" s="265"/>
      <c r="G66" s="265"/>
      <c r="H66" s="262"/>
      <c r="I66" s="266"/>
      <c r="J66" s="267"/>
      <c r="K66" s="262"/>
      <c r="L66" s="265"/>
      <c r="M66" s="262"/>
      <c r="N66" s="282"/>
      <c r="O66" s="277"/>
    </row>
    <row r="67" spans="1:21">
      <c r="A67" s="273"/>
      <c r="B67" s="262"/>
      <c r="C67" s="278" t="s">
        <v>299</v>
      </c>
      <c r="D67" s="262"/>
      <c r="E67" s="264"/>
      <c r="F67" s="265"/>
      <c r="G67" s="265"/>
      <c r="H67" s="262"/>
      <c r="I67" s="266"/>
      <c r="J67" s="267"/>
      <c r="K67" s="262"/>
      <c r="L67" s="265"/>
      <c r="M67" s="262"/>
      <c r="N67" s="282"/>
      <c r="O67" s="277"/>
    </row>
    <row r="68" spans="1:21">
      <c r="A68" s="273"/>
      <c r="B68" s="262"/>
      <c r="C68" s="262"/>
      <c r="D68" s="262" t="s">
        <v>300</v>
      </c>
      <c r="E68" s="264" t="s">
        <v>301</v>
      </c>
      <c r="F68" s="265"/>
      <c r="G68" s="265">
        <f>$G$43</f>
        <v>225</v>
      </c>
      <c r="H68" s="262"/>
      <c r="I68" s="266">
        <f>((G68/35)+1)*2</f>
        <v>14.857142857142858</v>
      </c>
      <c r="J68" s="267" t="s">
        <v>19</v>
      </c>
      <c r="K68" s="262"/>
      <c r="L68" s="265">
        <f t="shared" si="3"/>
        <v>112</v>
      </c>
      <c r="M68" s="262"/>
      <c r="N68" s="282">
        <f>I68*L68</f>
        <v>1664</v>
      </c>
      <c r="O68" s="277"/>
    </row>
    <row r="69" spans="1:21">
      <c r="A69" s="273"/>
      <c r="B69" s="262"/>
      <c r="C69" s="262"/>
      <c r="D69" s="262" t="s">
        <v>302</v>
      </c>
      <c r="E69" s="264" t="s">
        <v>303</v>
      </c>
      <c r="F69" s="265"/>
      <c r="G69" s="265">
        <f>$G$43</f>
        <v>225</v>
      </c>
      <c r="H69" s="262"/>
      <c r="I69" s="266">
        <f>((G69/20)+1)*2</f>
        <v>24.5</v>
      </c>
      <c r="J69" s="267" t="s">
        <v>19</v>
      </c>
      <c r="K69" s="262"/>
      <c r="L69" s="265">
        <f t="shared" si="3"/>
        <v>98</v>
      </c>
      <c r="M69" s="262"/>
      <c r="N69" s="282">
        <f>I69*L69</f>
        <v>2401</v>
      </c>
      <c r="O69" s="277"/>
    </row>
    <row r="70" spans="1:21">
      <c r="A70" s="273"/>
      <c r="B70" s="262"/>
      <c r="C70" s="262"/>
      <c r="D70" s="262"/>
      <c r="E70" s="264"/>
      <c r="F70" s="265"/>
      <c r="G70" s="265"/>
      <c r="H70" s="262"/>
      <c r="I70" s="266"/>
      <c r="J70" s="267"/>
      <c r="K70" s="262"/>
      <c r="L70" s="265">
        <f t="shared" si="3"/>
        <v>0</v>
      </c>
      <c r="M70" s="262"/>
      <c r="N70" s="282"/>
      <c r="O70" s="277"/>
    </row>
    <row r="71" spans="1:21">
      <c r="A71" s="273"/>
      <c r="B71" s="262"/>
      <c r="C71" s="262"/>
      <c r="D71" s="262" t="s">
        <v>304</v>
      </c>
      <c r="E71" s="264"/>
      <c r="F71" s="265">
        <f>$F$5</f>
        <v>5.5</v>
      </c>
      <c r="G71" s="265">
        <f>$G$43</f>
        <v>225</v>
      </c>
      <c r="H71" s="262"/>
      <c r="I71" s="266">
        <f>F71*G71</f>
        <v>1237.5</v>
      </c>
      <c r="J71" s="267" t="s">
        <v>39</v>
      </c>
      <c r="K71" s="262"/>
      <c r="L71" s="265">
        <f t="shared" si="3"/>
        <v>0.88</v>
      </c>
      <c r="M71" s="262"/>
      <c r="N71" s="282">
        <f>I71*L71</f>
        <v>1089</v>
      </c>
      <c r="O71" s="277"/>
    </row>
    <row r="72" spans="1:21">
      <c r="A72" s="273"/>
      <c r="B72" s="262"/>
      <c r="C72" s="262"/>
      <c r="D72" s="262" t="s">
        <v>311</v>
      </c>
      <c r="E72" s="742">
        <v>0.04</v>
      </c>
      <c r="F72" s="265">
        <f>$F$5</f>
        <v>5.5</v>
      </c>
      <c r="G72" s="265">
        <f>$G$43</f>
        <v>225</v>
      </c>
      <c r="H72" s="262"/>
      <c r="I72" s="266">
        <f>F72*G72</f>
        <v>1237.5</v>
      </c>
      <c r="J72" s="267" t="s">
        <v>39</v>
      </c>
      <c r="K72" s="262"/>
      <c r="L72" s="744">
        <v>15</v>
      </c>
      <c r="M72" s="262"/>
      <c r="N72" s="282">
        <f>I72*L72</f>
        <v>18562.5</v>
      </c>
      <c r="O72" s="277"/>
      <c r="T72" s="745">
        <f>SUM(N68:N72)</f>
        <v>23716.5</v>
      </c>
    </row>
    <row r="73" spans="1:21">
      <c r="A73" s="273"/>
      <c r="B73" s="262"/>
      <c r="C73" s="262"/>
      <c r="D73" s="262" t="s">
        <v>312</v>
      </c>
      <c r="E73" s="264"/>
      <c r="F73" s="265"/>
      <c r="G73" s="265"/>
      <c r="H73" s="262"/>
      <c r="I73" s="266"/>
      <c r="J73" s="267"/>
      <c r="K73" s="262"/>
      <c r="L73" s="265"/>
      <c r="M73" s="262"/>
      <c r="N73" s="262"/>
      <c r="O73" s="277"/>
    </row>
    <row r="74" spans="1:21">
      <c r="A74" s="273"/>
      <c r="B74" s="262"/>
      <c r="C74" s="262"/>
      <c r="D74" s="262"/>
      <c r="E74" s="264"/>
      <c r="F74" s="265"/>
      <c r="G74" s="265"/>
      <c r="H74" s="262"/>
      <c r="I74" s="266"/>
      <c r="J74" s="267"/>
      <c r="K74" s="262"/>
      <c r="L74" s="265"/>
      <c r="M74" s="262"/>
      <c r="N74" s="282"/>
      <c r="O74" s="277"/>
    </row>
    <row r="75" spans="1:21">
      <c r="A75" s="273"/>
      <c r="B75" s="262"/>
      <c r="C75" s="262"/>
      <c r="D75" s="262" t="s">
        <v>306</v>
      </c>
      <c r="E75" s="264"/>
      <c r="F75" s="265">
        <v>2</v>
      </c>
      <c r="G75" s="265">
        <f>$G$43</f>
        <v>225</v>
      </c>
      <c r="H75" s="262"/>
      <c r="I75" s="266">
        <f>G75*F75</f>
        <v>450</v>
      </c>
      <c r="J75" s="267" t="s">
        <v>4</v>
      </c>
      <c r="K75" s="262"/>
      <c r="L75" s="265">
        <f>L36</f>
        <v>2.5</v>
      </c>
      <c r="M75" s="262"/>
      <c r="N75" s="282">
        <f>I75*L75</f>
        <v>1125</v>
      </c>
      <c r="O75" s="277"/>
      <c r="U75" s="745">
        <f>SUM(N74:N75)</f>
        <v>1125</v>
      </c>
    </row>
    <row r="76" spans="1:21">
      <c r="A76" s="273"/>
      <c r="B76" s="262"/>
      <c r="C76" s="262"/>
      <c r="D76" s="262" t="s">
        <v>307</v>
      </c>
      <c r="E76" s="264"/>
      <c r="F76" s="265"/>
      <c r="G76" s="265"/>
      <c r="H76" s="262"/>
      <c r="I76" s="266">
        <f>(G43/30)*2</f>
        <v>15</v>
      </c>
      <c r="J76" s="267" t="s">
        <v>19</v>
      </c>
      <c r="K76" s="262"/>
      <c r="L76" s="265">
        <f>L37</f>
        <v>750</v>
      </c>
      <c r="M76" s="262"/>
      <c r="N76" s="282">
        <f>I76*L76</f>
        <v>11250</v>
      </c>
      <c r="O76" s="277"/>
    </row>
    <row r="77" spans="1:21">
      <c r="A77" s="273"/>
      <c r="B77" s="262"/>
      <c r="C77" s="262"/>
      <c r="D77" s="262"/>
      <c r="E77" s="264"/>
      <c r="F77" s="265"/>
      <c r="G77" s="265"/>
      <c r="H77" s="262"/>
      <c r="I77" s="266"/>
      <c r="J77" s="267"/>
      <c r="K77" s="262"/>
      <c r="L77" s="265"/>
      <c r="M77" s="262"/>
      <c r="N77" s="282"/>
      <c r="O77" s="277"/>
    </row>
    <row r="78" spans="1:21" ht="16" thickBot="1">
      <c r="A78" s="273"/>
      <c r="B78" s="262"/>
      <c r="C78" s="262"/>
      <c r="D78" s="262"/>
      <c r="E78" s="264"/>
      <c r="F78" s="265"/>
      <c r="G78" s="265"/>
      <c r="H78" s="262"/>
      <c r="I78" s="266"/>
      <c r="J78" s="267"/>
      <c r="K78" s="283"/>
      <c r="L78" s="284" t="s">
        <v>308</v>
      </c>
      <c r="M78" s="283" t="s">
        <v>309</v>
      </c>
      <c r="N78" s="285">
        <f>SUM(N45:N76)</f>
        <v>202832.76965445091</v>
      </c>
      <c r="O78" s="277"/>
    </row>
    <row r="79" spans="1:21" ht="17" thickTop="1" thickBot="1">
      <c r="A79" s="286"/>
      <c r="B79" s="287"/>
      <c r="C79" s="287"/>
      <c r="D79" s="287"/>
      <c r="E79" s="288"/>
      <c r="F79" s="289"/>
      <c r="G79" s="289"/>
      <c r="H79" s="287"/>
      <c r="I79" s="290"/>
      <c r="J79" s="291"/>
      <c r="K79" s="287"/>
      <c r="L79" s="289"/>
      <c r="M79" s="287"/>
      <c r="N79" s="287"/>
      <c r="O79" s="292"/>
    </row>
    <row r="80" spans="1:21">
      <c r="A80" s="269"/>
      <c r="B80" s="270"/>
      <c r="C80" s="270"/>
      <c r="D80" s="270"/>
      <c r="E80" s="270"/>
      <c r="F80" s="270"/>
      <c r="G80" s="270"/>
      <c r="H80" s="271"/>
      <c r="I80" s="270"/>
      <c r="J80" s="270"/>
      <c r="K80" s="270"/>
      <c r="L80" s="270"/>
      <c r="M80" s="270"/>
      <c r="N80" s="270"/>
      <c r="O80" s="272"/>
    </row>
    <row r="81" spans="1:21">
      <c r="A81" s="273"/>
      <c r="B81" s="274" t="s">
        <v>313</v>
      </c>
      <c r="C81" s="275"/>
      <c r="D81" s="275"/>
      <c r="E81" s="276"/>
      <c r="F81" s="275"/>
      <c r="G81" s="262"/>
      <c r="H81" s="262"/>
      <c r="I81" s="262"/>
      <c r="J81" s="1175" t="s">
        <v>279</v>
      </c>
      <c r="K81" s="1176"/>
      <c r="L81" s="1176"/>
      <c r="M81" s="1177"/>
      <c r="N81" s="738">
        <f>N117/G82</f>
        <v>1300.97632918318</v>
      </c>
      <c r="O81" s="277"/>
      <c r="R81" s="739" t="s">
        <v>773</v>
      </c>
      <c r="S81" s="739" t="s">
        <v>774</v>
      </c>
      <c r="T81" s="739" t="s">
        <v>775</v>
      </c>
      <c r="U81" s="739" t="s">
        <v>776</v>
      </c>
    </row>
    <row r="82" spans="1:21">
      <c r="A82" s="273"/>
      <c r="B82" s="262"/>
      <c r="C82" s="278" t="s">
        <v>280</v>
      </c>
      <c r="D82" s="262"/>
      <c r="E82" s="264"/>
      <c r="F82" s="740">
        <v>5.5</v>
      </c>
      <c r="G82" s="740">
        <v>225</v>
      </c>
      <c r="H82" s="262"/>
      <c r="I82" s="266"/>
      <c r="J82" s="267"/>
      <c r="K82" s="262"/>
      <c r="L82" s="265"/>
      <c r="M82" s="262"/>
      <c r="N82" s="262"/>
      <c r="O82" s="277"/>
    </row>
    <row r="83" spans="1:21">
      <c r="A83" s="273"/>
      <c r="B83" s="262"/>
      <c r="C83" s="262" t="s">
        <v>281</v>
      </c>
      <c r="D83" s="262"/>
      <c r="E83" s="279" t="s">
        <v>37</v>
      </c>
      <c r="F83" s="280" t="s">
        <v>207</v>
      </c>
      <c r="G83" s="280" t="s">
        <v>38</v>
      </c>
      <c r="H83" s="262"/>
      <c r="I83" s="281" t="s">
        <v>282</v>
      </c>
      <c r="J83" s="267" t="s">
        <v>5</v>
      </c>
      <c r="K83" s="267"/>
      <c r="L83" s="280" t="s">
        <v>2</v>
      </c>
      <c r="M83" s="262"/>
      <c r="N83" s="267" t="s">
        <v>283</v>
      </c>
      <c r="O83" s="277"/>
    </row>
    <row r="84" spans="1:21">
      <c r="A84" s="273"/>
      <c r="B84" s="262"/>
      <c r="C84" s="262"/>
      <c r="D84" s="262" t="s">
        <v>284</v>
      </c>
      <c r="E84" s="742">
        <v>0.15</v>
      </c>
      <c r="F84" s="265">
        <f>F82+0.25+0.25</f>
        <v>6</v>
      </c>
      <c r="G84" s="265">
        <f>$G$82</f>
        <v>225</v>
      </c>
      <c r="H84" s="262"/>
      <c r="I84" s="266">
        <f>E84*F84*G84</f>
        <v>202.49999999999997</v>
      </c>
      <c r="J84" s="267" t="s">
        <v>18</v>
      </c>
      <c r="K84" s="262"/>
      <c r="L84" s="265">
        <f>L45</f>
        <v>5.2121058823529411</v>
      </c>
      <c r="M84" s="262"/>
      <c r="N84" s="282">
        <f>I84*L84</f>
        <v>1055.4514411764703</v>
      </c>
      <c r="O84" s="277"/>
    </row>
    <row r="85" spans="1:21">
      <c r="A85" s="273"/>
      <c r="B85" s="262"/>
      <c r="C85" s="262"/>
      <c r="D85" s="262" t="s">
        <v>778</v>
      </c>
      <c r="E85" s="742">
        <f>E84</f>
        <v>0.15</v>
      </c>
      <c r="F85" s="265">
        <f>F84</f>
        <v>6</v>
      </c>
      <c r="G85" s="265">
        <f>$G$5</f>
        <v>2892.5</v>
      </c>
      <c r="H85" s="262"/>
      <c r="I85" s="266">
        <f>E85*F85*G85</f>
        <v>2603.2499999999995</v>
      </c>
      <c r="J85" s="267" t="s">
        <v>18</v>
      </c>
      <c r="K85" s="262"/>
      <c r="L85" s="265">
        <f t="shared" ref="L85:L111" si="4">L46</f>
        <v>37.441176470588232</v>
      </c>
      <c r="M85" s="262"/>
      <c r="N85" s="282">
        <f>I85*L85</f>
        <v>97468.742647058796</v>
      </c>
      <c r="O85" s="277"/>
    </row>
    <row r="86" spans="1:21">
      <c r="A86" s="273"/>
      <c r="B86" s="262"/>
      <c r="C86" s="262"/>
      <c r="D86" s="262"/>
      <c r="E86" s="264"/>
      <c r="F86" s="265"/>
      <c r="G86" s="265"/>
      <c r="H86" s="262"/>
      <c r="I86" s="266"/>
      <c r="J86" s="267"/>
      <c r="K86" s="262"/>
      <c r="L86" s="265">
        <f t="shared" si="4"/>
        <v>0</v>
      </c>
      <c r="M86" s="262"/>
      <c r="N86" s="282"/>
      <c r="O86" s="277"/>
    </row>
    <row r="87" spans="1:21">
      <c r="A87" s="273"/>
      <c r="B87" s="262"/>
      <c r="C87" s="262" t="s">
        <v>286</v>
      </c>
      <c r="D87" s="262"/>
      <c r="E87" s="264"/>
      <c r="F87" s="265"/>
      <c r="G87" s="265"/>
      <c r="H87" s="262"/>
      <c r="I87" s="266"/>
      <c r="J87" s="267"/>
      <c r="K87" s="262"/>
      <c r="L87" s="265">
        <f t="shared" si="4"/>
        <v>0</v>
      </c>
      <c r="M87" s="262"/>
      <c r="N87" s="282"/>
      <c r="O87" s="277"/>
    </row>
    <row r="88" spans="1:21">
      <c r="A88" s="273"/>
      <c r="B88" s="262"/>
      <c r="C88" s="262"/>
      <c r="D88" s="262" t="s">
        <v>287</v>
      </c>
      <c r="E88" s="264">
        <f>E91+E92+E94+E95</f>
        <v>0.8600000000000001</v>
      </c>
      <c r="F88" s="265">
        <f>F82</f>
        <v>5.5</v>
      </c>
      <c r="G88" s="265">
        <f>$G$82</f>
        <v>225</v>
      </c>
      <c r="H88" s="262"/>
      <c r="I88" s="266">
        <f>E88*F88*G88</f>
        <v>1064.25</v>
      </c>
      <c r="J88" s="267" t="s">
        <v>18</v>
      </c>
      <c r="K88" s="262"/>
      <c r="L88" s="265">
        <f t="shared" si="4"/>
        <v>8.2383999999999986</v>
      </c>
      <c r="M88" s="262"/>
      <c r="N88" s="282">
        <f>I88*L88</f>
        <v>8767.7171999999991</v>
      </c>
      <c r="O88" s="277"/>
    </row>
    <row r="89" spans="1:21">
      <c r="A89" s="273"/>
      <c r="B89" s="262"/>
      <c r="C89" s="262"/>
      <c r="D89" s="262" t="s">
        <v>285</v>
      </c>
      <c r="E89" s="264">
        <f>E88</f>
        <v>0.8600000000000001</v>
      </c>
      <c r="F89" s="265">
        <f>F88</f>
        <v>5.5</v>
      </c>
      <c r="G89" s="265">
        <f>$G$82</f>
        <v>225</v>
      </c>
      <c r="H89" s="262"/>
      <c r="I89" s="266">
        <f>E89*F89*G89</f>
        <v>1064.25</v>
      </c>
      <c r="J89" s="267" t="s">
        <v>18</v>
      </c>
      <c r="K89" s="262"/>
      <c r="L89" s="265">
        <f t="shared" si="4"/>
        <v>37.441176470588232</v>
      </c>
      <c r="M89" s="262"/>
      <c r="N89" s="282">
        <f>I89*L89</f>
        <v>39846.772058823524</v>
      </c>
      <c r="O89" s="277"/>
    </row>
    <row r="90" spans="1:21">
      <c r="A90" s="273"/>
      <c r="B90" s="262"/>
      <c r="C90" s="262"/>
      <c r="D90" s="262"/>
      <c r="E90" s="264"/>
      <c r="F90" s="265"/>
      <c r="G90" s="265"/>
      <c r="H90" s="262"/>
      <c r="I90" s="266"/>
      <c r="J90" s="267"/>
      <c r="K90" s="262"/>
      <c r="L90" s="265"/>
      <c r="M90" s="262"/>
      <c r="N90" s="282"/>
      <c r="O90" s="277"/>
    </row>
    <row r="91" spans="1:21">
      <c r="A91" s="273"/>
      <c r="B91" s="262"/>
      <c r="C91" s="262"/>
      <c r="D91" s="262" t="s">
        <v>288</v>
      </c>
      <c r="E91" s="742">
        <f>E52</f>
        <v>0.45</v>
      </c>
      <c r="F91" s="265">
        <f>F82+1</f>
        <v>6.5</v>
      </c>
      <c r="G91" s="265">
        <f t="shared" ref="G91:G96" si="5">$G$82</f>
        <v>225</v>
      </c>
      <c r="H91" s="262"/>
      <c r="I91" s="266">
        <f>F91*G91</f>
        <v>1462.5</v>
      </c>
      <c r="J91" s="267" t="s">
        <v>39</v>
      </c>
      <c r="K91" s="262"/>
      <c r="L91" s="265">
        <f t="shared" si="4"/>
        <v>17.926475294117648</v>
      </c>
      <c r="M91" s="262"/>
      <c r="N91" s="282">
        <f>I91*L91</f>
        <v>26217.470117647059</v>
      </c>
      <c r="O91" s="277"/>
    </row>
    <row r="92" spans="1:21">
      <c r="A92" s="273"/>
      <c r="B92" s="262"/>
      <c r="C92" s="262"/>
      <c r="D92" s="262" t="s">
        <v>289</v>
      </c>
      <c r="E92" s="742">
        <v>0.15</v>
      </c>
      <c r="F92" s="265">
        <f>F82</f>
        <v>5.5</v>
      </c>
      <c r="G92" s="265">
        <f t="shared" si="5"/>
        <v>225</v>
      </c>
      <c r="H92" s="262"/>
      <c r="I92" s="266">
        <f>F92*G92</f>
        <v>1237.5</v>
      </c>
      <c r="J92" s="267" t="s">
        <v>39</v>
      </c>
      <c r="K92" s="262"/>
      <c r="L92" s="265">
        <f t="shared" si="4"/>
        <v>8.6392376470588221</v>
      </c>
      <c r="M92" s="262"/>
      <c r="N92" s="282">
        <f>I92*L92</f>
        <v>10691.056588235293</v>
      </c>
      <c r="O92" s="277"/>
    </row>
    <row r="93" spans="1:21">
      <c r="A93" s="273"/>
      <c r="B93" s="262"/>
      <c r="C93" s="262"/>
      <c r="D93" s="262"/>
      <c r="E93" s="264"/>
      <c r="F93" s="265"/>
      <c r="G93" s="265"/>
      <c r="H93" s="262"/>
      <c r="I93" s="266"/>
      <c r="J93" s="267"/>
      <c r="K93" s="262"/>
      <c r="L93" s="265"/>
      <c r="M93" s="262"/>
      <c r="N93" s="282"/>
      <c r="O93" s="277"/>
    </row>
    <row r="94" spans="1:21">
      <c r="A94" s="273"/>
      <c r="B94" s="262"/>
      <c r="C94" s="262"/>
      <c r="D94" s="262" t="s">
        <v>290</v>
      </c>
      <c r="E94" s="742">
        <v>0.2</v>
      </c>
      <c r="F94" s="265">
        <f>F82</f>
        <v>5.5</v>
      </c>
      <c r="G94" s="265">
        <f t="shared" si="5"/>
        <v>225</v>
      </c>
      <c r="H94" s="262"/>
      <c r="I94" s="266">
        <f>F94*G94</f>
        <v>1237.5</v>
      </c>
      <c r="J94" s="267" t="s">
        <v>39</v>
      </c>
      <c r="K94" s="262"/>
      <c r="L94" s="265">
        <f t="shared" si="4"/>
        <v>22</v>
      </c>
      <c r="M94" s="262"/>
      <c r="N94" s="282">
        <f>I94*L94</f>
        <v>27225</v>
      </c>
      <c r="O94" s="277"/>
    </row>
    <row r="95" spans="1:21">
      <c r="A95" s="273"/>
      <c r="B95" s="262"/>
      <c r="C95" s="262"/>
      <c r="D95" s="262" t="s">
        <v>291</v>
      </c>
      <c r="E95" s="742">
        <v>0.06</v>
      </c>
      <c r="F95" s="265">
        <f>F82</f>
        <v>5.5</v>
      </c>
      <c r="G95" s="265">
        <f t="shared" si="5"/>
        <v>225</v>
      </c>
      <c r="H95" s="262"/>
      <c r="I95" s="266">
        <f>F95*G95</f>
        <v>1237.5</v>
      </c>
      <c r="J95" s="267" t="s">
        <v>39</v>
      </c>
      <c r="K95" s="262"/>
      <c r="L95" s="265">
        <f t="shared" si="4"/>
        <v>7.5</v>
      </c>
      <c r="M95" s="262"/>
      <c r="N95" s="282">
        <f>I95*L95</f>
        <v>9281.25</v>
      </c>
      <c r="O95" s="277"/>
    </row>
    <row r="96" spans="1:21">
      <c r="A96" s="273"/>
      <c r="B96" s="262"/>
      <c r="C96" s="262"/>
      <c r="D96" s="262" t="s">
        <v>292</v>
      </c>
      <c r="E96" s="264"/>
      <c r="F96" s="265">
        <f>F82</f>
        <v>5.5</v>
      </c>
      <c r="G96" s="265">
        <f t="shared" si="5"/>
        <v>225</v>
      </c>
      <c r="H96" s="262"/>
      <c r="I96" s="266">
        <f>F96*G96</f>
        <v>1237.5</v>
      </c>
      <c r="J96" s="267" t="s">
        <v>39</v>
      </c>
      <c r="K96" s="262"/>
      <c r="L96" s="265">
        <f t="shared" si="4"/>
        <v>0.5</v>
      </c>
      <c r="M96" s="262"/>
      <c r="N96" s="282">
        <f>I96*L96</f>
        <v>618.75</v>
      </c>
      <c r="O96" s="277"/>
      <c r="R96" s="745">
        <f>SUM(N84:N96)</f>
        <v>221172.21005294111</v>
      </c>
    </row>
    <row r="97" spans="1:20">
      <c r="A97" s="273"/>
      <c r="B97" s="262"/>
      <c r="C97" s="262"/>
      <c r="D97" s="262"/>
      <c r="E97" s="264"/>
      <c r="F97" s="265"/>
      <c r="G97" s="265"/>
      <c r="H97" s="262"/>
      <c r="I97" s="266"/>
      <c r="J97" s="267"/>
      <c r="K97" s="262"/>
      <c r="L97" s="265"/>
      <c r="M97" s="262"/>
      <c r="N97" s="282"/>
      <c r="O97" s="277"/>
    </row>
    <row r="98" spans="1:20">
      <c r="A98" s="273"/>
      <c r="B98" s="262"/>
      <c r="C98" s="262" t="s">
        <v>293</v>
      </c>
      <c r="D98" s="262"/>
      <c r="E98" s="264"/>
      <c r="F98" s="265"/>
      <c r="G98" s="265"/>
      <c r="H98" s="262"/>
      <c r="I98" s="266"/>
      <c r="J98" s="267"/>
      <c r="K98" s="262"/>
      <c r="L98" s="265"/>
      <c r="M98" s="262"/>
      <c r="N98" s="282"/>
      <c r="O98" s="277"/>
    </row>
    <row r="99" spans="1:20">
      <c r="A99" s="273"/>
      <c r="B99" s="262"/>
      <c r="C99" s="262"/>
      <c r="D99" s="262" t="s">
        <v>294</v>
      </c>
      <c r="E99" s="264"/>
      <c r="F99" s="265"/>
      <c r="G99" s="265">
        <f>$G$82*2*0.75</f>
        <v>337.5</v>
      </c>
      <c r="H99" s="262"/>
      <c r="I99" s="266">
        <f>G99</f>
        <v>337.5</v>
      </c>
      <c r="J99" s="267" t="s">
        <v>4</v>
      </c>
      <c r="K99" s="262"/>
      <c r="L99" s="265">
        <f t="shared" si="4"/>
        <v>36.795450642034204</v>
      </c>
      <c r="M99" s="262"/>
      <c r="N99" s="282">
        <f>I99*L99</f>
        <v>12418.464591686545</v>
      </c>
      <c r="O99" s="277"/>
    </row>
    <row r="100" spans="1:20">
      <c r="A100" s="273"/>
      <c r="B100" s="262"/>
      <c r="C100" s="262"/>
      <c r="D100" s="262" t="s">
        <v>295</v>
      </c>
      <c r="E100" s="264"/>
      <c r="F100" s="265"/>
      <c r="G100" s="265">
        <f>$G$82*2*0.25</f>
        <v>112.5</v>
      </c>
      <c r="H100" s="262"/>
      <c r="I100" s="266">
        <f>G100</f>
        <v>112.5</v>
      </c>
      <c r="J100" s="267" t="s">
        <v>4</v>
      </c>
      <c r="K100" s="262"/>
      <c r="L100" s="265">
        <f t="shared" si="4"/>
        <v>38.895450642034206</v>
      </c>
      <c r="M100" s="262"/>
      <c r="N100" s="282">
        <f>I100*L100</f>
        <v>4375.7381972288485</v>
      </c>
      <c r="O100" s="277"/>
    </row>
    <row r="101" spans="1:20">
      <c r="A101" s="273"/>
      <c r="B101" s="262"/>
      <c r="C101" s="262"/>
      <c r="D101" s="262"/>
      <c r="E101" s="264"/>
      <c r="F101" s="265"/>
      <c r="G101" s="265"/>
      <c r="H101" s="262"/>
      <c r="I101" s="266"/>
      <c r="J101" s="267"/>
      <c r="K101" s="262"/>
      <c r="L101" s="265"/>
      <c r="M101" s="262"/>
      <c r="N101" s="262"/>
      <c r="O101" s="277"/>
    </row>
    <row r="102" spans="1:20">
      <c r="A102" s="273"/>
      <c r="B102" s="262"/>
      <c r="C102" s="262" t="s">
        <v>296</v>
      </c>
      <c r="D102" s="262"/>
      <c r="E102" s="264"/>
      <c r="F102" s="265"/>
      <c r="G102" s="265"/>
      <c r="H102" s="262"/>
      <c r="I102" s="266"/>
      <c r="J102" s="267"/>
      <c r="K102" s="262"/>
      <c r="L102" s="265"/>
      <c r="M102" s="262"/>
      <c r="N102" s="262"/>
      <c r="O102" s="277"/>
    </row>
    <row r="103" spans="1:20">
      <c r="A103" s="273"/>
      <c r="B103" s="262"/>
      <c r="C103" s="262"/>
      <c r="D103" s="262" t="s">
        <v>297</v>
      </c>
      <c r="E103" s="264"/>
      <c r="F103" s="265"/>
      <c r="G103" s="265">
        <f>$G$82*2*0.75</f>
        <v>337.5</v>
      </c>
      <c r="H103" s="262"/>
      <c r="I103" s="266">
        <f>G103</f>
        <v>337.5</v>
      </c>
      <c r="J103" s="267" t="s">
        <v>4</v>
      </c>
      <c r="K103" s="262"/>
      <c r="L103" s="265">
        <f t="shared" si="4"/>
        <v>40.945580498575666</v>
      </c>
      <c r="M103" s="262"/>
      <c r="N103" s="282">
        <f>I103*L103</f>
        <v>13819.133418269288</v>
      </c>
      <c r="O103" s="277"/>
    </row>
    <row r="104" spans="1:20">
      <c r="A104" s="273"/>
      <c r="B104" s="262"/>
      <c r="C104" s="262"/>
      <c r="D104" s="262" t="s">
        <v>298</v>
      </c>
      <c r="E104" s="264"/>
      <c r="F104" s="265"/>
      <c r="G104" s="265">
        <f>$G$82*2*0.25</f>
        <v>112.5</v>
      </c>
      <c r="H104" s="262"/>
      <c r="I104" s="266">
        <f>G104</f>
        <v>112.5</v>
      </c>
      <c r="J104" s="267" t="s">
        <v>4</v>
      </c>
      <c r="K104" s="262"/>
      <c r="L104" s="265">
        <f t="shared" si="4"/>
        <v>43.045580498575667</v>
      </c>
      <c r="M104" s="262"/>
      <c r="N104" s="282">
        <f>I104*L104</f>
        <v>4842.627806089763</v>
      </c>
      <c r="O104" s="277"/>
      <c r="S104" s="745">
        <f>SUM(N99:N104)</f>
        <v>35455.964013274446</v>
      </c>
    </row>
    <row r="105" spans="1:20">
      <c r="A105" s="273"/>
      <c r="B105" s="262"/>
      <c r="C105" s="262"/>
      <c r="D105" s="262"/>
      <c r="E105" s="264"/>
      <c r="F105" s="265"/>
      <c r="G105" s="265"/>
      <c r="H105" s="262"/>
      <c r="I105" s="266"/>
      <c r="J105" s="267"/>
      <c r="K105" s="262"/>
      <c r="L105" s="265"/>
      <c r="M105" s="262"/>
      <c r="N105" s="282"/>
      <c r="O105" s="277"/>
    </row>
    <row r="106" spans="1:20">
      <c r="A106" s="273"/>
      <c r="B106" s="262"/>
      <c r="C106" s="278" t="s">
        <v>299</v>
      </c>
      <c r="D106" s="262"/>
      <c r="E106" s="264"/>
      <c r="F106" s="265"/>
      <c r="G106" s="265"/>
      <c r="H106" s="262"/>
      <c r="I106" s="266"/>
      <c r="J106" s="267"/>
      <c r="K106" s="262"/>
      <c r="L106" s="265"/>
      <c r="M106" s="262"/>
      <c r="N106" s="282"/>
      <c r="O106" s="277"/>
    </row>
    <row r="107" spans="1:20">
      <c r="A107" s="273"/>
      <c r="B107" s="262"/>
      <c r="C107" s="262"/>
      <c r="D107" s="262" t="s">
        <v>300</v>
      </c>
      <c r="E107" s="264" t="s">
        <v>301</v>
      </c>
      <c r="F107" s="265"/>
      <c r="G107" s="265">
        <f>$G$82</f>
        <v>225</v>
      </c>
      <c r="H107" s="262"/>
      <c r="I107" s="266">
        <f>((G107/35)+1)*2</f>
        <v>14.857142857142858</v>
      </c>
      <c r="J107" s="267" t="s">
        <v>19</v>
      </c>
      <c r="K107" s="262"/>
      <c r="L107" s="265">
        <f t="shared" si="4"/>
        <v>112</v>
      </c>
      <c r="M107" s="262"/>
      <c r="N107" s="282">
        <f>I107*L107</f>
        <v>1664</v>
      </c>
      <c r="O107" s="277"/>
    </row>
    <row r="108" spans="1:20">
      <c r="A108" s="273"/>
      <c r="B108" s="262"/>
      <c r="C108" s="262"/>
      <c r="D108" s="262" t="s">
        <v>302</v>
      </c>
      <c r="E108" s="264" t="s">
        <v>303</v>
      </c>
      <c r="F108" s="265"/>
      <c r="G108" s="265">
        <f>$G$82</f>
        <v>225</v>
      </c>
      <c r="H108" s="262"/>
      <c r="I108" s="266">
        <f>((G108/20)+1)*2</f>
        <v>24.5</v>
      </c>
      <c r="J108" s="267" t="s">
        <v>19</v>
      </c>
      <c r="K108" s="262"/>
      <c r="L108" s="265">
        <f t="shared" si="4"/>
        <v>98</v>
      </c>
      <c r="M108" s="262"/>
      <c r="N108" s="282">
        <f>I108*L108</f>
        <v>2401</v>
      </c>
      <c r="O108" s="277"/>
    </row>
    <row r="109" spans="1:20">
      <c r="A109" s="273"/>
      <c r="B109" s="262"/>
      <c r="C109" s="262"/>
      <c r="D109" s="262"/>
      <c r="E109" s="264"/>
      <c r="F109" s="265"/>
      <c r="G109" s="265"/>
      <c r="H109" s="262"/>
      <c r="I109" s="266"/>
      <c r="J109" s="267"/>
      <c r="K109" s="262"/>
      <c r="L109" s="265"/>
      <c r="M109" s="262"/>
      <c r="N109" s="282"/>
      <c r="O109" s="277"/>
    </row>
    <row r="110" spans="1:20">
      <c r="A110" s="273"/>
      <c r="B110" s="262"/>
      <c r="C110" s="262"/>
      <c r="D110" s="262" t="s">
        <v>304</v>
      </c>
      <c r="E110" s="264"/>
      <c r="F110" s="265">
        <f>$F$5</f>
        <v>5.5</v>
      </c>
      <c r="G110" s="265">
        <f>$G$82</f>
        <v>225</v>
      </c>
      <c r="H110" s="262"/>
      <c r="I110" s="266">
        <f>F110*G110</f>
        <v>1237.5</v>
      </c>
      <c r="J110" s="267" t="s">
        <v>39</v>
      </c>
      <c r="K110" s="262"/>
      <c r="L110" s="265">
        <f t="shared" si="4"/>
        <v>0.88</v>
      </c>
      <c r="M110" s="262"/>
      <c r="N110" s="282">
        <f>I110*L110</f>
        <v>1089</v>
      </c>
      <c r="O110" s="277"/>
    </row>
    <row r="111" spans="1:20">
      <c r="A111" s="273"/>
      <c r="B111" s="262"/>
      <c r="C111" s="262"/>
      <c r="D111" s="262" t="s">
        <v>311</v>
      </c>
      <c r="E111" s="742">
        <v>0.04</v>
      </c>
      <c r="F111" s="265">
        <f>$F$5</f>
        <v>5.5</v>
      </c>
      <c r="G111" s="265">
        <f>$G$82</f>
        <v>225</v>
      </c>
      <c r="H111" s="262"/>
      <c r="I111" s="266">
        <f>F111*G111</f>
        <v>1237.5</v>
      </c>
      <c r="J111" s="267" t="s">
        <v>39</v>
      </c>
      <c r="K111" s="262"/>
      <c r="L111" s="744">
        <f t="shared" si="4"/>
        <v>15</v>
      </c>
      <c r="M111" s="262"/>
      <c r="N111" s="282">
        <f>I111*L111</f>
        <v>18562.5</v>
      </c>
      <c r="O111" s="277"/>
      <c r="T111" s="745">
        <f>SUM(N107:N111)</f>
        <v>23716.5</v>
      </c>
    </row>
    <row r="112" spans="1:20">
      <c r="A112" s="273"/>
      <c r="B112" s="262"/>
      <c r="C112" s="262"/>
      <c r="D112" s="262" t="s">
        <v>314</v>
      </c>
      <c r="E112" s="264"/>
      <c r="F112" s="265"/>
      <c r="G112" s="265"/>
      <c r="H112" s="262"/>
      <c r="I112" s="266"/>
      <c r="J112" s="267"/>
      <c r="K112" s="262"/>
      <c r="L112" s="265"/>
      <c r="M112" s="262"/>
      <c r="N112" s="262"/>
      <c r="O112" s="277"/>
    </row>
    <row r="113" spans="1:21">
      <c r="A113" s="273"/>
      <c r="B113" s="262"/>
      <c r="C113" s="262"/>
      <c r="D113" s="262"/>
      <c r="E113" s="264"/>
      <c r="F113" s="265"/>
      <c r="G113" s="265"/>
      <c r="H113" s="262"/>
      <c r="I113" s="266"/>
      <c r="J113" s="267"/>
      <c r="K113" s="262"/>
      <c r="L113" s="265"/>
      <c r="M113" s="262"/>
      <c r="N113" s="282"/>
      <c r="O113" s="277"/>
      <c r="P113" s="262"/>
      <c r="Q113" s="265"/>
    </row>
    <row r="114" spans="1:21">
      <c r="A114" s="273"/>
      <c r="B114" s="262"/>
      <c r="C114" s="262"/>
      <c r="D114" s="262" t="s">
        <v>306</v>
      </c>
      <c r="E114" s="264"/>
      <c r="F114" s="265">
        <v>2</v>
      </c>
      <c r="G114" s="265">
        <f>$G$82</f>
        <v>225</v>
      </c>
      <c r="H114" s="262"/>
      <c r="I114" s="266">
        <f>G114*F114</f>
        <v>450</v>
      </c>
      <c r="J114" s="267" t="s">
        <v>4</v>
      </c>
      <c r="K114" s="262"/>
      <c r="L114" s="265">
        <f>L75</f>
        <v>2.5</v>
      </c>
      <c r="M114" s="262"/>
      <c r="N114" s="282">
        <f>I114*L114</f>
        <v>1125</v>
      </c>
      <c r="O114" s="277"/>
      <c r="P114" s="262"/>
      <c r="Q114" s="265"/>
      <c r="U114" s="745">
        <f>SUM(N113:N114)</f>
        <v>1125</v>
      </c>
    </row>
    <row r="115" spans="1:21">
      <c r="A115" s="273"/>
      <c r="B115" s="262"/>
      <c r="C115" s="262"/>
      <c r="D115" s="262" t="s">
        <v>307</v>
      </c>
      <c r="E115" s="264"/>
      <c r="F115" s="265"/>
      <c r="G115" s="265"/>
      <c r="H115" s="262"/>
      <c r="I115" s="266">
        <f>(G82/30)*2</f>
        <v>15</v>
      </c>
      <c r="J115" s="267" t="s">
        <v>19</v>
      </c>
      <c r="K115" s="262"/>
      <c r="L115" s="265">
        <f>L76</f>
        <v>750</v>
      </c>
      <c r="M115" s="262"/>
      <c r="N115" s="282">
        <f>I115*L115</f>
        <v>11250</v>
      </c>
      <c r="O115" s="277"/>
      <c r="P115" s="262"/>
      <c r="Q115" s="265"/>
    </row>
    <row r="116" spans="1:21">
      <c r="A116" s="273"/>
      <c r="B116" s="262"/>
      <c r="C116" s="262"/>
      <c r="D116" s="262"/>
      <c r="E116" s="264"/>
      <c r="F116" s="265"/>
      <c r="G116" s="265"/>
      <c r="H116" s="262"/>
      <c r="I116" s="266"/>
      <c r="J116" s="267"/>
      <c r="K116" s="262"/>
      <c r="L116" s="265"/>
      <c r="M116" s="262"/>
      <c r="N116" s="282"/>
      <c r="O116" s="277"/>
      <c r="P116" s="262"/>
      <c r="Q116" s="265"/>
    </row>
    <row r="117" spans="1:21" ht="16" thickBot="1">
      <c r="A117" s="273"/>
      <c r="B117" s="262"/>
      <c r="C117" s="262"/>
      <c r="D117" s="262"/>
      <c r="E117" s="264"/>
      <c r="F117" s="265"/>
      <c r="G117" s="265"/>
      <c r="H117" s="262"/>
      <c r="I117" s="266"/>
      <c r="J117" s="267"/>
      <c r="K117" s="283"/>
      <c r="L117" s="284" t="s">
        <v>308</v>
      </c>
      <c r="M117" s="283" t="s">
        <v>309</v>
      </c>
      <c r="N117" s="285">
        <f>SUM(N84:N115)</f>
        <v>292719.67406621552</v>
      </c>
      <c r="O117" s="277"/>
      <c r="P117" s="262"/>
      <c r="Q117" s="265"/>
    </row>
    <row r="118" spans="1:21" s="262" customFormat="1" thickTop="1" thickBot="1">
      <c r="A118" s="286"/>
      <c r="B118" s="287"/>
      <c r="C118" s="287"/>
      <c r="D118" s="287"/>
      <c r="E118" s="288"/>
      <c r="F118" s="289"/>
      <c r="G118" s="289"/>
      <c r="H118" s="287"/>
      <c r="I118" s="290"/>
      <c r="J118" s="291"/>
      <c r="K118" s="287"/>
      <c r="L118" s="289"/>
      <c r="M118" s="287"/>
      <c r="N118" s="287"/>
      <c r="O118" s="292"/>
      <c r="Q118" s="265"/>
    </row>
    <row r="119" spans="1:21" s="262" customFormat="1" ht="13">
      <c r="A119" s="269"/>
      <c r="B119" s="270"/>
      <c r="C119" s="270"/>
      <c r="D119" s="270"/>
      <c r="E119" s="270"/>
      <c r="F119" s="270"/>
      <c r="G119" s="270"/>
      <c r="H119" s="271"/>
      <c r="I119" s="270"/>
      <c r="J119" s="270"/>
      <c r="K119" s="270"/>
      <c r="L119" s="270"/>
      <c r="M119" s="270"/>
      <c r="N119" s="270"/>
      <c r="O119" s="272"/>
      <c r="Q119" s="265"/>
    </row>
    <row r="120" spans="1:21" s="262" customFormat="1" ht="13">
      <c r="A120" s="273"/>
      <c r="B120" s="274" t="s">
        <v>278</v>
      </c>
      <c r="C120" s="275"/>
      <c r="D120" s="275"/>
      <c r="E120" s="276"/>
      <c r="J120" s="1175" t="s">
        <v>279</v>
      </c>
      <c r="K120" s="1176"/>
      <c r="L120" s="1176"/>
      <c r="M120" s="1177"/>
      <c r="N120" s="738">
        <f>N155/G121</f>
        <v>1300.97632918318</v>
      </c>
      <c r="O120" s="277"/>
      <c r="Q120" s="265"/>
      <c r="R120" s="739" t="s">
        <v>773</v>
      </c>
      <c r="S120" s="739" t="s">
        <v>774</v>
      </c>
      <c r="T120" s="739" t="s">
        <v>775</v>
      </c>
      <c r="U120" s="739" t="s">
        <v>776</v>
      </c>
    </row>
    <row r="121" spans="1:21" s="262" customFormat="1">
      <c r="A121" s="273"/>
      <c r="C121" s="278" t="s">
        <v>280</v>
      </c>
      <c r="E121" s="264"/>
      <c r="F121" s="740">
        <v>5.5</v>
      </c>
      <c r="G121" s="740">
        <v>225</v>
      </c>
      <c r="I121" s="266"/>
      <c r="J121" s="267"/>
      <c r="L121" s="265"/>
      <c r="O121" s="277"/>
      <c r="Q121" s="265"/>
      <c r="R121"/>
      <c r="S121"/>
      <c r="T121"/>
      <c r="U121"/>
    </row>
    <row r="122" spans="1:21" s="262" customFormat="1">
      <c r="A122" s="273"/>
      <c r="C122" s="262" t="s">
        <v>281</v>
      </c>
      <c r="E122" s="279" t="s">
        <v>37</v>
      </c>
      <c r="F122" s="280" t="s">
        <v>207</v>
      </c>
      <c r="G122" s="280" t="s">
        <v>38</v>
      </c>
      <c r="I122" s="281" t="s">
        <v>282</v>
      </c>
      <c r="J122" s="267" t="s">
        <v>5</v>
      </c>
      <c r="K122" s="267"/>
      <c r="L122" s="280" t="s">
        <v>2</v>
      </c>
      <c r="N122" s="267" t="s">
        <v>283</v>
      </c>
      <c r="O122" s="277"/>
      <c r="Q122" s="265"/>
      <c r="R122"/>
      <c r="S122"/>
      <c r="T122"/>
      <c r="U122"/>
    </row>
    <row r="123" spans="1:21" s="262" customFormat="1">
      <c r="A123" s="273"/>
      <c r="D123" s="262" t="s">
        <v>284</v>
      </c>
      <c r="E123" s="742">
        <v>0.15</v>
      </c>
      <c r="F123" s="265">
        <f>F121+0.25+0.25</f>
        <v>6</v>
      </c>
      <c r="G123" s="265">
        <f>$G$159</f>
        <v>225</v>
      </c>
      <c r="I123" s="266">
        <f>E123*F123*G123</f>
        <v>202.49999999999997</v>
      </c>
      <c r="J123" s="267" t="s">
        <v>18</v>
      </c>
      <c r="L123" s="265">
        <f>L84</f>
        <v>5.2121058823529411</v>
      </c>
      <c r="N123" s="282">
        <f>I123*L123</f>
        <v>1055.4514411764703</v>
      </c>
      <c r="O123" s="277"/>
      <c r="Q123" s="265"/>
      <c r="R123"/>
      <c r="S123"/>
      <c r="T123"/>
      <c r="U123"/>
    </row>
    <row r="124" spans="1:21" s="262" customFormat="1">
      <c r="A124" s="273"/>
      <c r="D124" s="262" t="s">
        <v>778</v>
      </c>
      <c r="E124" s="742">
        <f>E123</f>
        <v>0.15</v>
      </c>
      <c r="F124" s="265">
        <f>F123</f>
        <v>6</v>
      </c>
      <c r="G124" s="265">
        <f>$G$5</f>
        <v>2892.5</v>
      </c>
      <c r="I124" s="266">
        <f>E124*F124*G124</f>
        <v>2603.2499999999995</v>
      </c>
      <c r="J124" s="267" t="s">
        <v>18</v>
      </c>
      <c r="L124" s="265">
        <f t="shared" ref="L124:L150" si="6">L85</f>
        <v>37.441176470588232</v>
      </c>
      <c r="N124" s="282">
        <f>I124*L124</f>
        <v>97468.742647058796</v>
      </c>
      <c r="O124" s="277"/>
      <c r="Q124" s="265"/>
      <c r="R124"/>
      <c r="S124"/>
      <c r="T124"/>
      <c r="U124"/>
    </row>
    <row r="125" spans="1:21" s="262" customFormat="1">
      <c r="A125" s="273"/>
      <c r="E125" s="264"/>
      <c r="F125" s="265"/>
      <c r="G125" s="265"/>
      <c r="I125" s="266"/>
      <c r="J125" s="267"/>
      <c r="L125" s="265"/>
      <c r="N125" s="282"/>
      <c r="O125" s="277"/>
      <c r="Q125" s="265"/>
      <c r="R125"/>
      <c r="S125"/>
      <c r="T125"/>
      <c r="U125"/>
    </row>
    <row r="126" spans="1:21" s="262" customFormat="1">
      <c r="A126" s="273"/>
      <c r="C126" s="262" t="s">
        <v>286</v>
      </c>
      <c r="E126" s="264"/>
      <c r="F126" s="265"/>
      <c r="G126" s="265"/>
      <c r="I126" s="266"/>
      <c r="J126" s="267"/>
      <c r="L126" s="265"/>
      <c r="N126" s="282"/>
      <c r="O126" s="277"/>
      <c r="Q126" s="265"/>
      <c r="R126"/>
      <c r="S126"/>
      <c r="T126"/>
      <c r="U126"/>
    </row>
    <row r="127" spans="1:21" s="262" customFormat="1">
      <c r="A127" s="273"/>
      <c r="D127" s="262" t="s">
        <v>287</v>
      </c>
      <c r="E127" s="264">
        <f>E130+E131+E133+E134</f>
        <v>0.8600000000000001</v>
      </c>
      <c r="F127" s="265">
        <f>F121</f>
        <v>5.5</v>
      </c>
      <c r="G127" s="265">
        <f t="shared" ref="G127:G135" si="7">$G$159</f>
        <v>225</v>
      </c>
      <c r="I127" s="266">
        <f>E127*F127*G127</f>
        <v>1064.25</v>
      </c>
      <c r="J127" s="267" t="s">
        <v>18</v>
      </c>
      <c r="L127" s="265">
        <f t="shared" si="6"/>
        <v>8.2383999999999986</v>
      </c>
      <c r="N127" s="282">
        <f>I127*L127</f>
        <v>8767.7171999999991</v>
      </c>
      <c r="O127" s="277"/>
      <c r="Q127" s="265"/>
      <c r="R127"/>
      <c r="S127"/>
      <c r="T127"/>
      <c r="U127"/>
    </row>
    <row r="128" spans="1:21" s="262" customFormat="1">
      <c r="A128" s="273"/>
      <c r="D128" s="262" t="s">
        <v>285</v>
      </c>
      <c r="E128" s="264">
        <f>E127</f>
        <v>0.8600000000000001</v>
      </c>
      <c r="F128" s="265">
        <f>F127</f>
        <v>5.5</v>
      </c>
      <c r="G128" s="265">
        <f t="shared" si="7"/>
        <v>225</v>
      </c>
      <c r="I128" s="266">
        <f>E128*F128*G128</f>
        <v>1064.25</v>
      </c>
      <c r="J128" s="267" t="s">
        <v>18</v>
      </c>
      <c r="L128" s="265">
        <f t="shared" si="6"/>
        <v>37.441176470588232</v>
      </c>
      <c r="N128" s="282">
        <f>I128*L128</f>
        <v>39846.772058823524</v>
      </c>
      <c r="O128" s="277"/>
      <c r="Q128" s="265"/>
      <c r="R128"/>
      <c r="S128"/>
      <c r="T128"/>
      <c r="U128"/>
    </row>
    <row r="129" spans="1:21" s="262" customFormat="1">
      <c r="A129" s="273"/>
      <c r="E129" s="264"/>
      <c r="F129" s="265"/>
      <c r="G129" s="265"/>
      <c r="I129" s="266"/>
      <c r="J129" s="267"/>
      <c r="L129" s="265"/>
      <c r="N129" s="282"/>
      <c r="O129" s="277"/>
      <c r="P129"/>
      <c r="Q129"/>
      <c r="R129"/>
      <c r="S129"/>
      <c r="T129"/>
      <c r="U129"/>
    </row>
    <row r="130" spans="1:21" s="262" customFormat="1">
      <c r="A130" s="273"/>
      <c r="D130" s="262" t="s">
        <v>288</v>
      </c>
      <c r="E130" s="742">
        <f>E91</f>
        <v>0.45</v>
      </c>
      <c r="F130" s="265">
        <f>F121+1</f>
        <v>6.5</v>
      </c>
      <c r="G130" s="265">
        <f t="shared" si="7"/>
        <v>225</v>
      </c>
      <c r="I130" s="266">
        <f>F130*G130</f>
        <v>1462.5</v>
      </c>
      <c r="J130" s="267" t="s">
        <v>39</v>
      </c>
      <c r="L130" s="265">
        <f t="shared" si="6"/>
        <v>17.926475294117648</v>
      </c>
      <c r="N130" s="282">
        <f>I130*L130</f>
        <v>26217.470117647059</v>
      </c>
      <c r="O130" s="277"/>
      <c r="P130"/>
      <c r="Q130"/>
      <c r="R130"/>
      <c r="S130"/>
      <c r="T130"/>
      <c r="U130"/>
    </row>
    <row r="131" spans="1:21" s="262" customFormat="1">
      <c r="A131" s="273"/>
      <c r="D131" s="262" t="s">
        <v>289</v>
      </c>
      <c r="E131" s="742">
        <v>0.15</v>
      </c>
      <c r="F131" s="265">
        <f>F121</f>
        <v>5.5</v>
      </c>
      <c r="G131" s="265">
        <f t="shared" si="7"/>
        <v>225</v>
      </c>
      <c r="I131" s="266">
        <f>F131*G131</f>
        <v>1237.5</v>
      </c>
      <c r="J131" s="267" t="s">
        <v>39</v>
      </c>
      <c r="L131" s="265">
        <f t="shared" si="6"/>
        <v>8.6392376470588221</v>
      </c>
      <c r="N131" s="282">
        <f>I131*L131</f>
        <v>10691.056588235293</v>
      </c>
      <c r="O131" s="277"/>
      <c r="P131"/>
      <c r="Q131"/>
      <c r="R131"/>
      <c r="S131"/>
      <c r="T131"/>
      <c r="U131"/>
    </row>
    <row r="132" spans="1:21" s="262" customFormat="1">
      <c r="A132" s="273"/>
      <c r="E132" s="264"/>
      <c r="F132" s="265"/>
      <c r="G132" s="265"/>
      <c r="I132" s="266"/>
      <c r="J132" s="267"/>
      <c r="L132" s="265"/>
      <c r="N132" s="282"/>
      <c r="O132" s="277"/>
      <c r="P132"/>
      <c r="Q132"/>
      <c r="R132"/>
      <c r="S132"/>
      <c r="T132"/>
      <c r="U132"/>
    </row>
    <row r="133" spans="1:21" s="262" customFormat="1">
      <c r="A133" s="273"/>
      <c r="D133" s="262" t="s">
        <v>290</v>
      </c>
      <c r="E133" s="742">
        <v>0.2</v>
      </c>
      <c r="F133" s="265">
        <f>F121</f>
        <v>5.5</v>
      </c>
      <c r="G133" s="265">
        <f t="shared" si="7"/>
        <v>225</v>
      </c>
      <c r="I133" s="266">
        <f>F133*G133</f>
        <v>1237.5</v>
      </c>
      <c r="J133" s="267" t="s">
        <v>39</v>
      </c>
      <c r="L133" s="265">
        <f t="shared" si="6"/>
        <v>22</v>
      </c>
      <c r="N133" s="282">
        <f>I133*L133</f>
        <v>27225</v>
      </c>
      <c r="O133" s="277"/>
      <c r="P133"/>
      <c r="Q133"/>
      <c r="R133"/>
      <c r="S133"/>
      <c r="T133"/>
      <c r="U133"/>
    </row>
    <row r="134" spans="1:21" s="262" customFormat="1">
      <c r="A134" s="273"/>
      <c r="D134" s="262" t="s">
        <v>291</v>
      </c>
      <c r="E134" s="742">
        <v>0.06</v>
      </c>
      <c r="F134" s="265">
        <f>F121</f>
        <v>5.5</v>
      </c>
      <c r="G134" s="265">
        <f t="shared" si="7"/>
        <v>225</v>
      </c>
      <c r="I134" s="266">
        <f>F134*G134</f>
        <v>1237.5</v>
      </c>
      <c r="J134" s="267" t="s">
        <v>39</v>
      </c>
      <c r="L134" s="265">
        <f t="shared" si="6"/>
        <v>7.5</v>
      </c>
      <c r="N134" s="282">
        <f>I134*L134</f>
        <v>9281.25</v>
      </c>
      <c r="O134" s="277"/>
      <c r="P134"/>
      <c r="Q134"/>
      <c r="R134"/>
      <c r="S134"/>
      <c r="T134"/>
      <c r="U134"/>
    </row>
    <row r="135" spans="1:21" s="262" customFormat="1">
      <c r="A135" s="273"/>
      <c r="D135" s="262" t="s">
        <v>292</v>
      </c>
      <c r="E135" s="264"/>
      <c r="F135" s="265">
        <f>F121</f>
        <v>5.5</v>
      </c>
      <c r="G135" s="265">
        <f t="shared" si="7"/>
        <v>225</v>
      </c>
      <c r="I135" s="266">
        <f>F135*G135</f>
        <v>1237.5</v>
      </c>
      <c r="J135" s="267" t="s">
        <v>39</v>
      </c>
      <c r="L135" s="265">
        <f t="shared" si="6"/>
        <v>0.5</v>
      </c>
      <c r="N135" s="282">
        <f>I135*L135</f>
        <v>618.75</v>
      </c>
      <c r="O135" s="277"/>
      <c r="P135"/>
      <c r="Q135"/>
      <c r="R135" s="745">
        <f>SUM(N123:N135)</f>
        <v>221172.21005294111</v>
      </c>
      <c r="S135"/>
      <c r="T135"/>
      <c r="U135"/>
    </row>
    <row r="136" spans="1:21" s="262" customFormat="1">
      <c r="A136" s="273"/>
      <c r="E136" s="264"/>
      <c r="F136" s="265"/>
      <c r="G136" s="265"/>
      <c r="I136" s="266"/>
      <c r="J136" s="267"/>
      <c r="L136" s="265"/>
      <c r="N136" s="282"/>
      <c r="O136" s="277"/>
      <c r="P136"/>
      <c r="Q136"/>
      <c r="R136"/>
      <c r="S136"/>
      <c r="T136"/>
      <c r="U136"/>
    </row>
    <row r="137" spans="1:21" s="262" customFormat="1">
      <c r="A137" s="273"/>
      <c r="C137" s="262" t="s">
        <v>293</v>
      </c>
      <c r="E137" s="264"/>
      <c r="F137" s="265"/>
      <c r="G137" s="265"/>
      <c r="I137" s="266"/>
      <c r="J137" s="267"/>
      <c r="L137" s="265"/>
      <c r="N137" s="282"/>
      <c r="O137" s="277"/>
      <c r="P137"/>
      <c r="Q137"/>
      <c r="R137"/>
      <c r="S137"/>
      <c r="T137"/>
      <c r="U137"/>
    </row>
    <row r="138" spans="1:21" s="262" customFormat="1">
      <c r="A138" s="273"/>
      <c r="D138" s="262" t="s">
        <v>294</v>
      </c>
      <c r="E138" s="264"/>
      <c r="F138" s="265"/>
      <c r="G138" s="265">
        <f>$G$159*2*0.75</f>
        <v>337.5</v>
      </c>
      <c r="I138" s="266">
        <f>G138</f>
        <v>337.5</v>
      </c>
      <c r="J138" s="267" t="s">
        <v>4</v>
      </c>
      <c r="L138" s="265">
        <f t="shared" si="6"/>
        <v>36.795450642034204</v>
      </c>
      <c r="N138" s="282">
        <f>I138*L138</f>
        <v>12418.464591686545</v>
      </c>
      <c r="O138" s="277"/>
      <c r="P138"/>
      <c r="Q138"/>
      <c r="R138"/>
      <c r="S138"/>
      <c r="T138"/>
      <c r="U138"/>
    </row>
    <row r="139" spans="1:21" s="262" customFormat="1">
      <c r="A139" s="273"/>
      <c r="D139" s="262" t="s">
        <v>295</v>
      </c>
      <c r="E139" s="264"/>
      <c r="F139" s="265"/>
      <c r="G139" s="265">
        <f>$G$159*2*0.25</f>
        <v>112.5</v>
      </c>
      <c r="I139" s="266">
        <f>G139</f>
        <v>112.5</v>
      </c>
      <c r="J139" s="267" t="s">
        <v>4</v>
      </c>
      <c r="L139" s="265">
        <f t="shared" si="6"/>
        <v>38.895450642034206</v>
      </c>
      <c r="N139" s="282">
        <f>I139*L139</f>
        <v>4375.7381972288485</v>
      </c>
      <c r="O139" s="277"/>
      <c r="P139"/>
      <c r="Q139"/>
      <c r="R139"/>
      <c r="S139"/>
      <c r="T139"/>
      <c r="U139"/>
    </row>
    <row r="140" spans="1:21" s="262" customFormat="1">
      <c r="A140" s="273"/>
      <c r="E140" s="264"/>
      <c r="F140" s="265"/>
      <c r="G140" s="265"/>
      <c r="I140" s="266"/>
      <c r="J140" s="267"/>
      <c r="L140" s="265"/>
      <c r="O140" s="277"/>
      <c r="P140"/>
      <c r="Q140"/>
      <c r="R140"/>
      <c r="S140"/>
      <c r="T140"/>
      <c r="U140"/>
    </row>
    <row r="141" spans="1:21" s="262" customFormat="1">
      <c r="A141" s="273"/>
      <c r="C141" s="262" t="s">
        <v>296</v>
      </c>
      <c r="E141" s="264"/>
      <c r="F141" s="265"/>
      <c r="G141" s="265"/>
      <c r="I141" s="266"/>
      <c r="J141" s="267"/>
      <c r="L141" s="265"/>
      <c r="O141" s="277"/>
      <c r="P141"/>
      <c r="Q141"/>
      <c r="R141"/>
      <c r="S141"/>
      <c r="T141"/>
      <c r="U141"/>
    </row>
    <row r="142" spans="1:21" s="262" customFormat="1">
      <c r="A142" s="273"/>
      <c r="D142" s="262" t="s">
        <v>297</v>
      </c>
      <c r="E142" s="264"/>
      <c r="F142" s="265"/>
      <c r="G142" s="265">
        <f>$G$159*2*0.75</f>
        <v>337.5</v>
      </c>
      <c r="I142" s="266">
        <f>G142</f>
        <v>337.5</v>
      </c>
      <c r="J142" s="267" t="s">
        <v>4</v>
      </c>
      <c r="L142" s="265">
        <f t="shared" si="6"/>
        <v>40.945580498575666</v>
      </c>
      <c r="N142" s="282">
        <f>I142*L142</f>
        <v>13819.133418269288</v>
      </c>
      <c r="O142" s="277"/>
      <c r="P142"/>
      <c r="Q142"/>
      <c r="R142"/>
      <c r="S142"/>
      <c r="T142"/>
      <c r="U142"/>
    </row>
    <row r="143" spans="1:21" s="262" customFormat="1">
      <c r="A143" s="273"/>
      <c r="D143" s="262" t="s">
        <v>298</v>
      </c>
      <c r="E143" s="264"/>
      <c r="F143" s="265"/>
      <c r="G143" s="265">
        <f>$G$159*2*0.25</f>
        <v>112.5</v>
      </c>
      <c r="I143" s="266">
        <f>G143</f>
        <v>112.5</v>
      </c>
      <c r="J143" s="267" t="s">
        <v>4</v>
      </c>
      <c r="L143" s="265">
        <f t="shared" si="6"/>
        <v>43.045580498575667</v>
      </c>
      <c r="N143" s="282">
        <f>I143*L143</f>
        <v>4842.627806089763</v>
      </c>
      <c r="O143" s="277"/>
      <c r="P143"/>
      <c r="Q143"/>
      <c r="R143"/>
      <c r="S143" s="745">
        <f>SUM(N138:N143)</f>
        <v>35455.964013274446</v>
      </c>
      <c r="T143"/>
      <c r="U143"/>
    </row>
    <row r="144" spans="1:21" s="262" customFormat="1">
      <c r="A144" s="273"/>
      <c r="E144" s="264"/>
      <c r="F144" s="265"/>
      <c r="G144" s="265"/>
      <c r="I144" s="266"/>
      <c r="J144" s="267"/>
      <c r="L144" s="265"/>
      <c r="N144" s="282"/>
      <c r="O144" s="277"/>
      <c r="P144"/>
      <c r="Q144"/>
      <c r="R144"/>
      <c r="S144"/>
      <c r="T144"/>
      <c r="U144"/>
    </row>
    <row r="145" spans="1:21" s="262" customFormat="1">
      <c r="A145" s="273"/>
      <c r="C145" s="278" t="s">
        <v>299</v>
      </c>
      <c r="E145" s="264"/>
      <c r="F145" s="265"/>
      <c r="G145" s="265"/>
      <c r="I145" s="266"/>
      <c r="J145" s="267"/>
      <c r="L145" s="265"/>
      <c r="N145" s="282"/>
      <c r="O145" s="277"/>
      <c r="P145"/>
      <c r="Q145"/>
      <c r="R145"/>
      <c r="S145"/>
      <c r="T145"/>
      <c r="U145"/>
    </row>
    <row r="146" spans="1:21" s="262" customFormat="1">
      <c r="A146" s="273"/>
      <c r="D146" s="262" t="s">
        <v>300</v>
      </c>
      <c r="E146" s="264" t="s">
        <v>301</v>
      </c>
      <c r="F146" s="265"/>
      <c r="G146" s="265">
        <f>$G$159</f>
        <v>225</v>
      </c>
      <c r="I146" s="266">
        <f>((G146/35)+1)*2</f>
        <v>14.857142857142858</v>
      </c>
      <c r="J146" s="267" t="s">
        <v>19</v>
      </c>
      <c r="L146" s="265">
        <f t="shared" si="6"/>
        <v>112</v>
      </c>
      <c r="N146" s="282">
        <f>I146*L146</f>
        <v>1664</v>
      </c>
      <c r="O146" s="277"/>
      <c r="P146"/>
      <c r="Q146"/>
      <c r="R146"/>
      <c r="S146"/>
      <c r="T146"/>
      <c r="U146"/>
    </row>
    <row r="147" spans="1:21" s="262" customFormat="1">
      <c r="A147" s="273"/>
      <c r="D147" s="262" t="s">
        <v>302</v>
      </c>
      <c r="E147" s="264" t="s">
        <v>303</v>
      </c>
      <c r="F147" s="265"/>
      <c r="G147" s="265">
        <f>$G$159</f>
        <v>225</v>
      </c>
      <c r="I147" s="266">
        <f>((G147/20)+1)*2</f>
        <v>24.5</v>
      </c>
      <c r="J147" s="267" t="s">
        <v>19</v>
      </c>
      <c r="L147" s="265">
        <f t="shared" si="6"/>
        <v>98</v>
      </c>
      <c r="N147" s="282">
        <f>I147*L147</f>
        <v>2401</v>
      </c>
      <c r="O147" s="277"/>
      <c r="P147"/>
      <c r="Q147"/>
      <c r="R147"/>
      <c r="S147"/>
      <c r="T147"/>
      <c r="U147"/>
    </row>
    <row r="148" spans="1:21" s="262" customFormat="1">
      <c r="A148" s="273"/>
      <c r="E148" s="264"/>
      <c r="F148" s="265"/>
      <c r="G148" s="265"/>
      <c r="I148" s="266"/>
      <c r="J148" s="267"/>
      <c r="L148" s="265"/>
      <c r="N148" s="282"/>
      <c r="O148" s="277"/>
      <c r="P148"/>
      <c r="Q148"/>
      <c r="R148"/>
      <c r="S148"/>
      <c r="T148"/>
      <c r="U148"/>
    </row>
    <row r="149" spans="1:21" s="262" customFormat="1">
      <c r="A149" s="273"/>
      <c r="D149" s="262" t="s">
        <v>304</v>
      </c>
      <c r="E149" s="264"/>
      <c r="F149" s="265">
        <f>$F$5</f>
        <v>5.5</v>
      </c>
      <c r="G149" s="265">
        <f>$G$159</f>
        <v>225</v>
      </c>
      <c r="I149" s="266">
        <f>F149*G149</f>
        <v>1237.5</v>
      </c>
      <c r="J149" s="267" t="s">
        <v>39</v>
      </c>
      <c r="L149" s="265">
        <f t="shared" si="6"/>
        <v>0.88</v>
      </c>
      <c r="N149" s="282">
        <f>I149*L149</f>
        <v>1089</v>
      </c>
      <c r="O149" s="277"/>
      <c r="P149"/>
      <c r="Q149"/>
      <c r="R149"/>
      <c r="S149"/>
      <c r="T149"/>
      <c r="U149"/>
    </row>
    <row r="150" spans="1:21" s="262" customFormat="1">
      <c r="A150" s="273"/>
      <c r="D150" s="262" t="s">
        <v>305</v>
      </c>
      <c r="E150" s="742">
        <v>0.05</v>
      </c>
      <c r="F150" s="265">
        <f>$F$5</f>
        <v>5.5</v>
      </c>
      <c r="G150" s="265">
        <f>$G$159</f>
        <v>225</v>
      </c>
      <c r="I150" s="266">
        <f>F150*G150</f>
        <v>1237.5</v>
      </c>
      <c r="J150" s="267" t="s">
        <v>39</v>
      </c>
      <c r="L150" s="744">
        <f t="shared" si="6"/>
        <v>15</v>
      </c>
      <c r="N150" s="282">
        <f>I150*L150</f>
        <v>18562.5</v>
      </c>
      <c r="O150" s="277"/>
      <c r="P150"/>
      <c r="Q150"/>
      <c r="R150"/>
      <c r="S150"/>
      <c r="T150" s="745">
        <f>SUM(N146:N150)</f>
        <v>23716.5</v>
      </c>
      <c r="U150"/>
    </row>
    <row r="151" spans="1:21" s="262" customFormat="1">
      <c r="A151" s="273"/>
      <c r="E151" s="264"/>
      <c r="F151" s="265"/>
      <c r="G151" s="265"/>
      <c r="I151" s="266"/>
      <c r="J151" s="267"/>
      <c r="L151" s="265"/>
      <c r="N151" s="282"/>
      <c r="O151" s="277"/>
      <c r="P151"/>
      <c r="Q151"/>
      <c r="R151"/>
      <c r="S151"/>
      <c r="T151"/>
      <c r="U151"/>
    </row>
    <row r="152" spans="1:21" s="262" customFormat="1">
      <c r="A152" s="273"/>
      <c r="D152" s="262" t="s">
        <v>306</v>
      </c>
      <c r="E152" s="264"/>
      <c r="F152" s="265">
        <v>2</v>
      </c>
      <c r="G152" s="265">
        <f>$G$159</f>
        <v>225</v>
      </c>
      <c r="I152" s="266">
        <f>G152*F152</f>
        <v>450</v>
      </c>
      <c r="J152" s="267" t="s">
        <v>4</v>
      </c>
      <c r="L152" s="265">
        <f>L114</f>
        <v>2.5</v>
      </c>
      <c r="N152" s="282">
        <f>I152*L152</f>
        <v>1125</v>
      </c>
      <c r="O152" s="277"/>
      <c r="P152"/>
      <c r="Q152"/>
      <c r="R152"/>
      <c r="S152"/>
      <c r="T152"/>
      <c r="U152"/>
    </row>
    <row r="153" spans="1:21" s="262" customFormat="1">
      <c r="A153" s="273"/>
      <c r="D153" s="262" t="s">
        <v>307</v>
      </c>
      <c r="E153" s="264"/>
      <c r="F153" s="265"/>
      <c r="G153" s="265"/>
      <c r="I153" s="266">
        <f>(G121/30)*2</f>
        <v>15</v>
      </c>
      <c r="J153" s="267" t="s">
        <v>19</v>
      </c>
      <c r="L153" s="265">
        <f>L115</f>
        <v>750</v>
      </c>
      <c r="N153" s="282">
        <f>I153*L153</f>
        <v>11250</v>
      </c>
      <c r="O153" s="277"/>
      <c r="P153"/>
      <c r="Q153"/>
      <c r="R153"/>
      <c r="S153"/>
      <c r="T153"/>
      <c r="U153" s="745">
        <f>SUM(N152:N153)</f>
        <v>12375</v>
      </c>
    </row>
    <row r="154" spans="1:21" s="262" customFormat="1">
      <c r="A154" s="273"/>
      <c r="E154" s="264"/>
      <c r="F154" s="265"/>
      <c r="G154" s="265"/>
      <c r="I154" s="266"/>
      <c r="J154" s="267"/>
      <c r="L154" s="265"/>
      <c r="O154" s="277"/>
      <c r="P154"/>
      <c r="Q154"/>
    </row>
    <row r="155" spans="1:21" s="262" customFormat="1" ht="16" thickBot="1">
      <c r="A155" s="273"/>
      <c r="E155" s="264"/>
      <c r="F155" s="265"/>
      <c r="G155" s="265"/>
      <c r="I155" s="266"/>
      <c r="J155" s="267"/>
      <c r="K155" s="283"/>
      <c r="L155" s="284" t="s">
        <v>308</v>
      </c>
      <c r="M155" s="283" t="s">
        <v>309</v>
      </c>
      <c r="N155" s="285">
        <f>SUM(N123:N153)</f>
        <v>292719.67406621552</v>
      </c>
      <c r="O155" s="277"/>
      <c r="P155"/>
      <c r="Q155"/>
    </row>
    <row r="156" spans="1:21" s="262" customFormat="1" ht="17" thickTop="1" thickBot="1">
      <c r="A156" s="286"/>
      <c r="B156" s="287"/>
      <c r="C156" s="287"/>
      <c r="D156" s="287"/>
      <c r="E156" s="288"/>
      <c r="F156" s="289"/>
      <c r="G156" s="289"/>
      <c r="H156" s="287"/>
      <c r="I156" s="290"/>
      <c r="J156" s="291"/>
      <c r="K156" s="287"/>
      <c r="L156" s="289"/>
      <c r="M156" s="287"/>
      <c r="N156" s="287"/>
      <c r="O156" s="292"/>
      <c r="P156"/>
      <c r="Q156"/>
    </row>
    <row r="157" spans="1:21" s="262" customFormat="1" ht="13">
      <c r="A157" s="269"/>
      <c r="B157" s="270"/>
      <c r="C157" s="270"/>
      <c r="D157" s="270"/>
      <c r="E157" s="270"/>
      <c r="F157" s="270"/>
      <c r="G157" s="270"/>
      <c r="H157" s="271"/>
      <c r="I157" s="270"/>
      <c r="J157" s="270"/>
      <c r="K157" s="270"/>
      <c r="L157" s="270"/>
      <c r="M157" s="270"/>
      <c r="N157" s="270"/>
      <c r="O157" s="272"/>
      <c r="Q157" s="265"/>
    </row>
    <row r="158" spans="1:21" s="262" customFormat="1" ht="13">
      <c r="A158" s="273"/>
      <c r="B158" s="274" t="s">
        <v>315</v>
      </c>
      <c r="C158" s="275"/>
      <c r="D158" s="275"/>
      <c r="E158" s="276"/>
      <c r="J158" s="1175" t="s">
        <v>279</v>
      </c>
      <c r="K158" s="1176"/>
      <c r="L158" s="1176"/>
      <c r="M158" s="1177"/>
      <c r="N158" s="738">
        <f>N193/G159</f>
        <v>1469.8073623988669</v>
      </c>
      <c r="O158" s="277"/>
      <c r="Q158" s="265"/>
      <c r="R158" s="739" t="s">
        <v>773</v>
      </c>
      <c r="S158" s="739" t="s">
        <v>774</v>
      </c>
      <c r="T158" s="739" t="s">
        <v>775</v>
      </c>
      <c r="U158" s="739" t="s">
        <v>776</v>
      </c>
    </row>
    <row r="159" spans="1:21" s="262" customFormat="1">
      <c r="A159" s="273"/>
      <c r="C159" s="278" t="s">
        <v>280</v>
      </c>
      <c r="E159" s="264"/>
      <c r="F159" s="740">
        <v>6.5</v>
      </c>
      <c r="G159" s="740">
        <v>225</v>
      </c>
      <c r="I159" s="266"/>
      <c r="J159" s="267"/>
      <c r="L159" s="265"/>
      <c r="O159" s="277"/>
      <c r="Q159" s="265"/>
      <c r="R159"/>
      <c r="S159"/>
      <c r="T159"/>
      <c r="U159"/>
    </row>
    <row r="160" spans="1:21" s="262" customFormat="1">
      <c r="A160" s="273"/>
      <c r="C160" s="262" t="s">
        <v>281</v>
      </c>
      <c r="E160" s="279" t="s">
        <v>37</v>
      </c>
      <c r="F160" s="280" t="s">
        <v>207</v>
      </c>
      <c r="G160" s="280" t="s">
        <v>38</v>
      </c>
      <c r="I160" s="281" t="s">
        <v>282</v>
      </c>
      <c r="J160" s="267" t="s">
        <v>5</v>
      </c>
      <c r="K160" s="267"/>
      <c r="L160" s="280" t="s">
        <v>2</v>
      </c>
      <c r="N160" s="267" t="s">
        <v>283</v>
      </c>
      <c r="O160" s="277"/>
      <c r="Q160" s="265"/>
      <c r="R160"/>
      <c r="S160"/>
      <c r="T160"/>
      <c r="U160"/>
    </row>
    <row r="161" spans="1:21" s="262" customFormat="1">
      <c r="A161" s="273"/>
      <c r="D161" s="262" t="s">
        <v>284</v>
      </c>
      <c r="E161" s="742">
        <v>0.15</v>
      </c>
      <c r="F161" s="265">
        <f>F159+0.25+0.25</f>
        <v>7</v>
      </c>
      <c r="G161" s="265">
        <f>$G$159</f>
        <v>225</v>
      </c>
      <c r="I161" s="266">
        <f>E161*F161*G161</f>
        <v>236.25</v>
      </c>
      <c r="J161" s="267" t="s">
        <v>18</v>
      </c>
      <c r="L161" s="265">
        <f>L123</f>
        <v>5.2121058823529411</v>
      </c>
      <c r="N161" s="282">
        <f>I161*L161</f>
        <v>1231.3600147058823</v>
      </c>
      <c r="O161" s="277"/>
      <c r="Q161" s="265"/>
      <c r="R161"/>
      <c r="S161"/>
      <c r="T161"/>
      <c r="U161"/>
    </row>
    <row r="162" spans="1:21" s="262" customFormat="1">
      <c r="A162" s="273"/>
      <c r="D162" s="262" t="s">
        <v>778</v>
      </c>
      <c r="E162" s="742">
        <f>E161</f>
        <v>0.15</v>
      </c>
      <c r="F162" s="265">
        <f>F161</f>
        <v>7</v>
      </c>
      <c r="G162" s="265">
        <f>$G$5</f>
        <v>2892.5</v>
      </c>
      <c r="I162" s="266">
        <f>E162*F162*G162</f>
        <v>3037.125</v>
      </c>
      <c r="J162" s="267" t="s">
        <v>18</v>
      </c>
      <c r="L162" s="265">
        <f t="shared" ref="L162:L187" si="8">L124</f>
        <v>37.441176470588232</v>
      </c>
      <c r="N162" s="282">
        <f>I162*L162</f>
        <v>113713.53308823529</v>
      </c>
      <c r="O162" s="277"/>
      <c r="Q162" s="265"/>
      <c r="R162"/>
      <c r="S162"/>
      <c r="T162"/>
      <c r="U162"/>
    </row>
    <row r="163" spans="1:21" s="262" customFormat="1">
      <c r="A163" s="273"/>
      <c r="E163" s="264"/>
      <c r="F163" s="265"/>
      <c r="G163" s="265"/>
      <c r="I163" s="266"/>
      <c r="J163" s="267"/>
      <c r="L163" s="265"/>
      <c r="N163" s="282"/>
      <c r="O163" s="277"/>
      <c r="Q163" s="265"/>
      <c r="R163"/>
      <c r="S163"/>
      <c r="T163"/>
      <c r="U163"/>
    </row>
    <row r="164" spans="1:21" s="262" customFormat="1">
      <c r="A164" s="273"/>
      <c r="C164" s="262" t="s">
        <v>286</v>
      </c>
      <c r="E164" s="264"/>
      <c r="F164" s="265"/>
      <c r="G164" s="265"/>
      <c r="I164" s="266"/>
      <c r="J164" s="267"/>
      <c r="L164" s="265"/>
      <c r="N164" s="282"/>
      <c r="O164" s="277"/>
      <c r="Q164" s="265"/>
      <c r="R164"/>
      <c r="S164"/>
      <c r="T164"/>
      <c r="U164"/>
    </row>
    <row r="165" spans="1:21" s="262" customFormat="1">
      <c r="A165" s="273"/>
      <c r="D165" s="262" t="s">
        <v>287</v>
      </c>
      <c r="E165" s="264">
        <f>E168+E169+E171+E172</f>
        <v>0.8600000000000001</v>
      </c>
      <c r="F165" s="265">
        <f>F159</f>
        <v>6.5</v>
      </c>
      <c r="G165" s="265">
        <f t="shared" ref="G165:G173" si="9">$G$159</f>
        <v>225</v>
      </c>
      <c r="I165" s="266">
        <f>E165*F165*G165</f>
        <v>1257.7500000000002</v>
      </c>
      <c r="J165" s="267" t="s">
        <v>18</v>
      </c>
      <c r="L165" s="265">
        <f t="shared" si="8"/>
        <v>8.2383999999999986</v>
      </c>
      <c r="N165" s="282">
        <f>I165*L165</f>
        <v>10361.847600000001</v>
      </c>
      <c r="O165" s="277"/>
      <c r="Q165" s="265"/>
      <c r="R165"/>
      <c r="S165"/>
      <c r="T165"/>
      <c r="U165"/>
    </row>
    <row r="166" spans="1:21" s="262" customFormat="1">
      <c r="A166" s="273"/>
      <c r="D166" s="262" t="s">
        <v>285</v>
      </c>
      <c r="E166" s="264">
        <f>E165</f>
        <v>0.8600000000000001</v>
      </c>
      <c r="F166" s="265">
        <f>F165</f>
        <v>6.5</v>
      </c>
      <c r="G166" s="265">
        <f t="shared" si="9"/>
        <v>225</v>
      </c>
      <c r="I166" s="266">
        <f>E166*F166*G166</f>
        <v>1257.7500000000002</v>
      </c>
      <c r="J166" s="267" t="s">
        <v>18</v>
      </c>
      <c r="L166" s="265">
        <f t="shared" si="8"/>
        <v>37.441176470588232</v>
      </c>
      <c r="N166" s="282">
        <f>I166*L166</f>
        <v>47091.639705882357</v>
      </c>
      <c r="O166" s="277"/>
      <c r="Q166" s="265"/>
      <c r="R166"/>
      <c r="S166"/>
      <c r="T166"/>
      <c r="U166"/>
    </row>
    <row r="167" spans="1:21" s="262" customFormat="1">
      <c r="A167" s="273"/>
      <c r="E167" s="264"/>
      <c r="F167" s="265"/>
      <c r="G167" s="265"/>
      <c r="I167" s="266"/>
      <c r="J167" s="267"/>
      <c r="L167" s="265"/>
      <c r="N167" s="282"/>
      <c r="O167" s="277"/>
      <c r="P167"/>
      <c r="Q167"/>
      <c r="R167"/>
      <c r="S167"/>
      <c r="T167"/>
      <c r="U167"/>
    </row>
    <row r="168" spans="1:21" s="262" customFormat="1">
      <c r="A168" s="273"/>
      <c r="D168" s="262" t="s">
        <v>288</v>
      </c>
      <c r="E168" s="742">
        <f>E130</f>
        <v>0.45</v>
      </c>
      <c r="F168" s="265">
        <f>F159+1</f>
        <v>7.5</v>
      </c>
      <c r="G168" s="265">
        <f t="shared" si="9"/>
        <v>225</v>
      </c>
      <c r="I168" s="266">
        <f>F168*G168</f>
        <v>1687.5</v>
      </c>
      <c r="J168" s="267" t="s">
        <v>39</v>
      </c>
      <c r="L168" s="265">
        <f t="shared" si="8"/>
        <v>17.926475294117648</v>
      </c>
      <c r="N168" s="282">
        <f>I168*L168</f>
        <v>30250.92705882353</v>
      </c>
      <c r="O168" s="277"/>
      <c r="P168"/>
      <c r="Q168"/>
      <c r="R168"/>
      <c r="S168"/>
      <c r="T168"/>
      <c r="U168"/>
    </row>
    <row r="169" spans="1:21" s="262" customFormat="1">
      <c r="A169" s="273"/>
      <c r="D169" s="262" t="s">
        <v>289</v>
      </c>
      <c r="E169" s="742">
        <v>0.15</v>
      </c>
      <c r="F169" s="265">
        <f>F159</f>
        <v>6.5</v>
      </c>
      <c r="G169" s="265">
        <f t="shared" si="9"/>
        <v>225</v>
      </c>
      <c r="I169" s="266">
        <f>F169*G169</f>
        <v>1462.5</v>
      </c>
      <c r="J169" s="267" t="s">
        <v>39</v>
      </c>
      <c r="L169" s="265">
        <f t="shared" si="8"/>
        <v>8.6392376470588221</v>
      </c>
      <c r="N169" s="282">
        <f>I169*L169</f>
        <v>12634.885058823527</v>
      </c>
      <c r="O169" s="277"/>
      <c r="P169"/>
      <c r="Q169"/>
      <c r="R169"/>
      <c r="S169"/>
      <c r="T169"/>
      <c r="U169"/>
    </row>
    <row r="170" spans="1:21" s="262" customFormat="1">
      <c r="A170" s="273"/>
      <c r="E170" s="264"/>
      <c r="F170" s="265"/>
      <c r="G170" s="265"/>
      <c r="I170" s="266"/>
      <c r="J170" s="267"/>
      <c r="L170" s="265"/>
      <c r="N170" s="282"/>
      <c r="O170" s="277"/>
      <c r="P170"/>
      <c r="Q170"/>
      <c r="R170"/>
      <c r="S170"/>
      <c r="T170"/>
      <c r="U170"/>
    </row>
    <row r="171" spans="1:21" s="262" customFormat="1">
      <c r="A171" s="273"/>
      <c r="D171" s="262" t="s">
        <v>290</v>
      </c>
      <c r="E171" s="742">
        <v>0.2</v>
      </c>
      <c r="F171" s="265">
        <f>F159</f>
        <v>6.5</v>
      </c>
      <c r="G171" s="265">
        <f t="shared" si="9"/>
        <v>225</v>
      </c>
      <c r="I171" s="266">
        <f>F171*G171</f>
        <v>1462.5</v>
      </c>
      <c r="J171" s="267" t="s">
        <v>39</v>
      </c>
      <c r="L171" s="265">
        <f t="shared" si="8"/>
        <v>22</v>
      </c>
      <c r="N171" s="282">
        <f>I171*L171</f>
        <v>32175</v>
      </c>
      <c r="O171" s="277"/>
      <c r="P171"/>
      <c r="Q171"/>
      <c r="R171"/>
      <c r="S171"/>
      <c r="T171"/>
      <c r="U171"/>
    </row>
    <row r="172" spans="1:21" s="262" customFormat="1">
      <c r="A172" s="273"/>
      <c r="D172" s="262" t="s">
        <v>291</v>
      </c>
      <c r="E172" s="742">
        <v>0.06</v>
      </c>
      <c r="F172" s="265">
        <f>F159</f>
        <v>6.5</v>
      </c>
      <c r="G172" s="265">
        <f t="shared" si="9"/>
        <v>225</v>
      </c>
      <c r="I172" s="266">
        <f>F172*G172</f>
        <v>1462.5</v>
      </c>
      <c r="J172" s="267" t="s">
        <v>39</v>
      </c>
      <c r="L172" s="265">
        <f t="shared" si="8"/>
        <v>7.5</v>
      </c>
      <c r="N172" s="282">
        <f>I172*L172</f>
        <v>10968.75</v>
      </c>
      <c r="O172" s="277"/>
      <c r="P172"/>
      <c r="Q172"/>
      <c r="R172"/>
      <c r="S172"/>
      <c r="T172"/>
      <c r="U172"/>
    </row>
    <row r="173" spans="1:21" s="262" customFormat="1">
      <c r="A173" s="273"/>
      <c r="D173" s="262" t="s">
        <v>292</v>
      </c>
      <c r="E173" s="264"/>
      <c r="F173" s="265">
        <f>F159</f>
        <v>6.5</v>
      </c>
      <c r="G173" s="265">
        <f t="shared" si="9"/>
        <v>225</v>
      </c>
      <c r="I173" s="266">
        <f>F173*G173</f>
        <v>1462.5</v>
      </c>
      <c r="J173" s="267" t="s">
        <v>39</v>
      </c>
      <c r="L173" s="265">
        <f t="shared" si="8"/>
        <v>0.5</v>
      </c>
      <c r="N173" s="282">
        <f>I173*L173</f>
        <v>731.25</v>
      </c>
      <c r="O173" s="277"/>
      <c r="P173"/>
      <c r="Q173"/>
      <c r="R173" s="745">
        <f>SUM(N161:N173)</f>
        <v>259159.19252647058</v>
      </c>
      <c r="S173"/>
      <c r="T173"/>
      <c r="U173"/>
    </row>
    <row r="174" spans="1:21" s="262" customFormat="1">
      <c r="A174" s="273"/>
      <c r="E174" s="264"/>
      <c r="F174" s="265"/>
      <c r="G174" s="265"/>
      <c r="I174" s="266"/>
      <c r="J174" s="267"/>
      <c r="L174" s="265"/>
      <c r="N174" s="282"/>
      <c r="O174" s="277"/>
      <c r="P174"/>
      <c r="Q174"/>
      <c r="R174"/>
      <c r="S174"/>
      <c r="T174"/>
      <c r="U174"/>
    </row>
    <row r="175" spans="1:21" s="262" customFormat="1">
      <c r="A175" s="273"/>
      <c r="C175" s="262" t="s">
        <v>293</v>
      </c>
      <c r="E175" s="264"/>
      <c r="F175" s="265"/>
      <c r="G175" s="265"/>
      <c r="I175" s="266"/>
      <c r="J175" s="267"/>
      <c r="L175" s="265"/>
      <c r="N175" s="282"/>
      <c r="O175" s="277"/>
      <c r="P175"/>
      <c r="Q175"/>
      <c r="R175"/>
      <c r="S175"/>
      <c r="T175"/>
      <c r="U175"/>
    </row>
    <row r="176" spans="1:21" s="262" customFormat="1">
      <c r="A176" s="273"/>
      <c r="D176" s="262" t="s">
        <v>294</v>
      </c>
      <c r="E176" s="264"/>
      <c r="F176" s="265"/>
      <c r="G176" s="265">
        <f>$G$159*2*0.75</f>
        <v>337.5</v>
      </c>
      <c r="I176" s="266">
        <f>G176</f>
        <v>337.5</v>
      </c>
      <c r="J176" s="267" t="s">
        <v>4</v>
      </c>
      <c r="L176" s="265">
        <f t="shared" si="8"/>
        <v>36.795450642034204</v>
      </c>
      <c r="N176" s="282">
        <f>I176*L176</f>
        <v>12418.464591686545</v>
      </c>
      <c r="O176" s="277"/>
      <c r="P176"/>
      <c r="Q176"/>
      <c r="R176"/>
      <c r="S176"/>
      <c r="T176"/>
      <c r="U176"/>
    </row>
    <row r="177" spans="1:21" s="262" customFormat="1">
      <c r="A177" s="273"/>
      <c r="D177" s="262" t="s">
        <v>295</v>
      </c>
      <c r="E177" s="264"/>
      <c r="F177" s="265"/>
      <c r="G177" s="265">
        <f>$G$159*2*0.25</f>
        <v>112.5</v>
      </c>
      <c r="I177" s="266">
        <f>G177</f>
        <v>112.5</v>
      </c>
      <c r="J177" s="267" t="s">
        <v>4</v>
      </c>
      <c r="L177" s="265">
        <f t="shared" si="8"/>
        <v>38.895450642034206</v>
      </c>
      <c r="N177" s="282">
        <f>I177*L177</f>
        <v>4375.7381972288485</v>
      </c>
      <c r="O177" s="277"/>
      <c r="P177"/>
      <c r="Q177"/>
      <c r="R177"/>
      <c r="S177"/>
      <c r="T177"/>
      <c r="U177"/>
    </row>
    <row r="178" spans="1:21" s="262" customFormat="1">
      <c r="A178" s="273"/>
      <c r="E178" s="264"/>
      <c r="F178" s="265"/>
      <c r="G178" s="265"/>
      <c r="I178" s="266"/>
      <c r="J178" s="267"/>
      <c r="L178" s="265"/>
      <c r="O178" s="277"/>
      <c r="P178"/>
      <c r="Q178"/>
      <c r="R178"/>
      <c r="S178"/>
      <c r="T178"/>
      <c r="U178"/>
    </row>
    <row r="179" spans="1:21" s="262" customFormat="1">
      <c r="A179" s="273"/>
      <c r="C179" s="262" t="s">
        <v>296</v>
      </c>
      <c r="E179" s="264"/>
      <c r="F179" s="265"/>
      <c r="G179" s="265"/>
      <c r="I179" s="266"/>
      <c r="J179" s="267"/>
      <c r="L179" s="265"/>
      <c r="O179" s="277"/>
      <c r="P179"/>
      <c r="Q179"/>
      <c r="R179"/>
      <c r="S179"/>
      <c r="T179"/>
      <c r="U179"/>
    </row>
    <row r="180" spans="1:21" s="262" customFormat="1">
      <c r="A180" s="273"/>
      <c r="D180" s="262" t="s">
        <v>297</v>
      </c>
      <c r="E180" s="264"/>
      <c r="F180" s="265"/>
      <c r="G180" s="265">
        <f>$G$159*2*0.75</f>
        <v>337.5</v>
      </c>
      <c r="I180" s="266">
        <f>G180</f>
        <v>337.5</v>
      </c>
      <c r="J180" s="267" t="s">
        <v>4</v>
      </c>
      <c r="L180" s="265">
        <f t="shared" si="8"/>
        <v>40.945580498575666</v>
      </c>
      <c r="N180" s="282">
        <f>I180*L180</f>
        <v>13819.133418269288</v>
      </c>
      <c r="O180" s="277"/>
      <c r="P180"/>
      <c r="Q180"/>
      <c r="R180"/>
      <c r="S180"/>
      <c r="T180"/>
      <c r="U180"/>
    </row>
    <row r="181" spans="1:21" s="262" customFormat="1">
      <c r="A181" s="273"/>
      <c r="D181" s="262" t="s">
        <v>298</v>
      </c>
      <c r="E181" s="264"/>
      <c r="F181" s="265"/>
      <c r="G181" s="265">
        <f>$G$159*2*0.25</f>
        <v>112.5</v>
      </c>
      <c r="I181" s="266">
        <f>G181</f>
        <v>112.5</v>
      </c>
      <c r="J181" s="267" t="s">
        <v>4</v>
      </c>
      <c r="L181" s="265">
        <f t="shared" si="8"/>
        <v>43.045580498575667</v>
      </c>
      <c r="N181" s="282">
        <f>I181*L181</f>
        <v>4842.627806089763</v>
      </c>
      <c r="O181" s="277"/>
      <c r="P181"/>
      <c r="Q181"/>
      <c r="R181"/>
      <c r="S181" s="745">
        <f>SUM(N176:N181)</f>
        <v>35455.964013274446</v>
      </c>
      <c r="T181"/>
      <c r="U181"/>
    </row>
    <row r="182" spans="1:21" s="262" customFormat="1">
      <c r="A182" s="273"/>
      <c r="E182" s="264"/>
      <c r="F182" s="265"/>
      <c r="G182" s="265"/>
      <c r="I182" s="266"/>
      <c r="J182" s="267"/>
      <c r="L182" s="265"/>
      <c r="N182" s="282"/>
      <c r="O182" s="277"/>
      <c r="P182"/>
      <c r="Q182"/>
      <c r="R182"/>
      <c r="S182"/>
      <c r="T182"/>
      <c r="U182"/>
    </row>
    <row r="183" spans="1:21" s="262" customFormat="1">
      <c r="A183" s="273"/>
      <c r="C183" s="278" t="s">
        <v>299</v>
      </c>
      <c r="E183" s="264"/>
      <c r="F183" s="265"/>
      <c r="G183" s="265"/>
      <c r="I183" s="266"/>
      <c r="J183" s="267"/>
      <c r="L183" s="265"/>
      <c r="N183" s="282"/>
      <c r="O183" s="277"/>
      <c r="P183"/>
      <c r="Q183"/>
      <c r="R183"/>
      <c r="S183"/>
      <c r="T183"/>
      <c r="U183"/>
    </row>
    <row r="184" spans="1:21" s="262" customFormat="1">
      <c r="A184" s="273"/>
      <c r="D184" s="262" t="s">
        <v>300</v>
      </c>
      <c r="E184" s="264" t="s">
        <v>301</v>
      </c>
      <c r="F184" s="265"/>
      <c r="G184" s="265">
        <f>$G$159</f>
        <v>225</v>
      </c>
      <c r="I184" s="266">
        <f>((G184/35)+1)*2</f>
        <v>14.857142857142858</v>
      </c>
      <c r="J184" s="267" t="s">
        <v>19</v>
      </c>
      <c r="L184" s="265">
        <f t="shared" si="8"/>
        <v>112</v>
      </c>
      <c r="N184" s="282">
        <f>I184*L184</f>
        <v>1664</v>
      </c>
      <c r="O184" s="277"/>
      <c r="P184"/>
      <c r="Q184"/>
      <c r="R184"/>
      <c r="S184"/>
      <c r="T184"/>
      <c r="U184"/>
    </row>
    <row r="185" spans="1:21" s="262" customFormat="1">
      <c r="A185" s="273"/>
      <c r="D185" s="262" t="s">
        <v>302</v>
      </c>
      <c r="E185" s="264" t="s">
        <v>303</v>
      </c>
      <c r="F185" s="265"/>
      <c r="G185" s="265">
        <f>$G$159</f>
        <v>225</v>
      </c>
      <c r="I185" s="266">
        <f>((G185/20)+1)*2</f>
        <v>24.5</v>
      </c>
      <c r="J185" s="267" t="s">
        <v>19</v>
      </c>
      <c r="L185" s="265">
        <f t="shared" si="8"/>
        <v>98</v>
      </c>
      <c r="N185" s="282">
        <f>I185*L185</f>
        <v>2401</v>
      </c>
      <c r="O185" s="277"/>
      <c r="P185"/>
      <c r="Q185"/>
      <c r="R185"/>
      <c r="S185"/>
      <c r="T185"/>
      <c r="U185"/>
    </row>
    <row r="186" spans="1:21" s="262" customFormat="1">
      <c r="A186" s="273"/>
      <c r="E186" s="264"/>
      <c r="F186" s="265"/>
      <c r="G186" s="265"/>
      <c r="I186" s="266"/>
      <c r="J186" s="267"/>
      <c r="L186" s="265"/>
      <c r="N186" s="282"/>
      <c r="O186" s="277"/>
      <c r="P186"/>
      <c r="Q186"/>
      <c r="R186"/>
      <c r="S186"/>
      <c r="T186"/>
      <c r="U186"/>
    </row>
    <row r="187" spans="1:21" s="262" customFormat="1">
      <c r="A187" s="273"/>
      <c r="D187" s="262" t="s">
        <v>304</v>
      </c>
      <c r="E187" s="264"/>
      <c r="F187" s="265">
        <f>$F$5</f>
        <v>5.5</v>
      </c>
      <c r="G187" s="265">
        <f>$G$159</f>
        <v>225</v>
      </c>
      <c r="I187" s="266">
        <f>F187*G187</f>
        <v>1237.5</v>
      </c>
      <c r="J187" s="267" t="s">
        <v>39</v>
      </c>
      <c r="L187" s="265">
        <f t="shared" si="8"/>
        <v>0.88</v>
      </c>
      <c r="N187" s="282">
        <f>I187*L187</f>
        <v>1089</v>
      </c>
      <c r="O187" s="277"/>
      <c r="P187"/>
      <c r="Q187"/>
      <c r="R187"/>
      <c r="S187"/>
      <c r="T187"/>
      <c r="U187"/>
    </row>
    <row r="188" spans="1:21" s="262" customFormat="1">
      <c r="A188" s="273"/>
      <c r="D188" s="262" t="s">
        <v>305</v>
      </c>
      <c r="E188" s="742">
        <v>0.05</v>
      </c>
      <c r="F188" s="265">
        <f>$F$5</f>
        <v>5.5</v>
      </c>
      <c r="G188" s="265">
        <f>$G$159</f>
        <v>225</v>
      </c>
      <c r="I188" s="266">
        <f>F188*G188</f>
        <v>1237.5</v>
      </c>
      <c r="J188" s="267" t="s">
        <v>39</v>
      </c>
      <c r="L188" s="744">
        <v>15</v>
      </c>
      <c r="N188" s="282">
        <f>I188*L188</f>
        <v>18562.5</v>
      </c>
      <c r="O188" s="277"/>
      <c r="P188"/>
      <c r="Q188"/>
      <c r="R188"/>
      <c r="S188"/>
      <c r="T188" s="745">
        <f>SUM(N184:N188)</f>
        <v>23716.5</v>
      </c>
      <c r="U188"/>
    </row>
    <row r="189" spans="1:21" s="262" customFormat="1">
      <c r="A189" s="273"/>
      <c r="E189" s="264"/>
      <c r="F189" s="265"/>
      <c r="G189" s="265"/>
      <c r="I189" s="266"/>
      <c r="J189" s="267"/>
      <c r="L189" s="265"/>
      <c r="N189" s="282"/>
      <c r="O189" s="277"/>
      <c r="P189"/>
      <c r="Q189"/>
      <c r="R189"/>
      <c r="S189"/>
      <c r="T189"/>
      <c r="U189"/>
    </row>
    <row r="190" spans="1:21" s="262" customFormat="1">
      <c r="A190" s="273"/>
      <c r="D190" s="262" t="s">
        <v>306</v>
      </c>
      <c r="E190" s="264"/>
      <c r="F190" s="265">
        <v>2</v>
      </c>
      <c r="G190" s="265">
        <f>$G$159</f>
        <v>225</v>
      </c>
      <c r="I190" s="266">
        <f>G190*F190</f>
        <v>450</v>
      </c>
      <c r="J190" s="267" t="s">
        <v>4</v>
      </c>
      <c r="L190" s="265">
        <f>L152</f>
        <v>2.5</v>
      </c>
      <c r="N190" s="282">
        <f>I190*L190</f>
        <v>1125</v>
      </c>
      <c r="O190" s="277"/>
      <c r="P190"/>
      <c r="Q190"/>
      <c r="R190"/>
      <c r="S190"/>
      <c r="T190"/>
      <c r="U190"/>
    </row>
    <row r="191" spans="1:21" s="262" customFormat="1">
      <c r="A191" s="273"/>
      <c r="D191" s="262" t="s">
        <v>307</v>
      </c>
      <c r="E191" s="264"/>
      <c r="F191" s="265"/>
      <c r="G191" s="265"/>
      <c r="I191" s="266">
        <f>(G159/30)*2</f>
        <v>15</v>
      </c>
      <c r="J191" s="267" t="s">
        <v>19</v>
      </c>
      <c r="L191" s="265">
        <f>L153</f>
        <v>750</v>
      </c>
      <c r="N191" s="282">
        <f>I191*L191</f>
        <v>11250</v>
      </c>
      <c r="O191" s="277"/>
      <c r="P191"/>
      <c r="Q191"/>
      <c r="R191"/>
      <c r="S191"/>
      <c r="T191"/>
      <c r="U191" s="745">
        <f>SUM(N190:N191)</f>
        <v>12375</v>
      </c>
    </row>
    <row r="192" spans="1:21" s="262" customFormat="1">
      <c r="A192" s="273"/>
      <c r="E192" s="264"/>
      <c r="F192" s="265"/>
      <c r="G192" s="265"/>
      <c r="I192" s="266"/>
      <c r="J192" s="267"/>
      <c r="L192" s="265"/>
      <c r="O192" s="277"/>
      <c r="P192"/>
      <c r="Q192"/>
    </row>
    <row r="193" spans="1:21" s="262" customFormat="1" ht="16" thickBot="1">
      <c r="A193" s="273"/>
      <c r="E193" s="264"/>
      <c r="F193" s="265"/>
      <c r="G193" s="265"/>
      <c r="I193" s="266"/>
      <c r="J193" s="267"/>
      <c r="K193" s="283"/>
      <c r="L193" s="284" t="s">
        <v>308</v>
      </c>
      <c r="M193" s="283" t="s">
        <v>309</v>
      </c>
      <c r="N193" s="285">
        <f>SUM(N161:N191)</f>
        <v>330706.65653974505</v>
      </c>
      <c r="O193" s="277"/>
      <c r="P193"/>
      <c r="Q193"/>
    </row>
    <row r="194" spans="1:21" s="262" customFormat="1" ht="17" thickTop="1" thickBot="1">
      <c r="A194" s="286"/>
      <c r="B194" s="287"/>
      <c r="C194" s="287"/>
      <c r="D194" s="287"/>
      <c r="E194" s="288"/>
      <c r="F194" s="289"/>
      <c r="G194" s="289"/>
      <c r="H194" s="287"/>
      <c r="I194" s="290"/>
      <c r="J194" s="291"/>
      <c r="K194" s="287"/>
      <c r="L194" s="289"/>
      <c r="M194" s="287"/>
      <c r="N194" s="287"/>
      <c r="O194" s="292"/>
      <c r="P194"/>
      <c r="Q194"/>
    </row>
    <row r="195" spans="1:21" s="262" customFormat="1">
      <c r="A195" s="269"/>
      <c r="B195" s="270"/>
      <c r="C195" s="270"/>
      <c r="D195" s="270"/>
      <c r="E195" s="270"/>
      <c r="F195" s="270"/>
      <c r="G195" s="270"/>
      <c r="H195" s="271"/>
      <c r="I195" s="270"/>
      <c r="J195" s="270"/>
      <c r="K195" s="270"/>
      <c r="L195" s="270"/>
      <c r="M195" s="270"/>
      <c r="N195" s="270"/>
      <c r="O195" s="272"/>
      <c r="P195"/>
      <c r="Q195"/>
    </row>
    <row r="196" spans="1:21" s="262" customFormat="1">
      <c r="A196" s="273"/>
      <c r="B196" s="274" t="s">
        <v>316</v>
      </c>
      <c r="C196" s="275"/>
      <c r="D196" s="275"/>
      <c r="E196" s="276"/>
      <c r="J196" s="1175" t="s">
        <v>279</v>
      </c>
      <c r="K196" s="1176"/>
      <c r="L196" s="1176"/>
      <c r="M196" s="1177"/>
      <c r="N196" s="738">
        <f>IFERROR(N231/G197,0)</f>
        <v>845.46050392024074</v>
      </c>
      <c r="O196" s="277"/>
      <c r="P196"/>
      <c r="Q196"/>
      <c r="R196" s="739" t="s">
        <v>773</v>
      </c>
      <c r="S196" s="739" t="s">
        <v>774</v>
      </c>
      <c r="T196" s="739" t="s">
        <v>775</v>
      </c>
      <c r="U196" s="739" t="s">
        <v>776</v>
      </c>
    </row>
    <row r="197" spans="1:21" s="262" customFormat="1">
      <c r="A197" s="273"/>
      <c r="C197" s="278" t="s">
        <v>280</v>
      </c>
      <c r="E197" s="264"/>
      <c r="F197" s="740">
        <v>4.5</v>
      </c>
      <c r="G197" s="740">
        <v>2254</v>
      </c>
      <c r="I197" s="266"/>
      <c r="J197" s="267"/>
      <c r="L197" s="265"/>
      <c r="O197" s="277"/>
      <c r="P197"/>
      <c r="Q197"/>
      <c r="R197"/>
      <c r="S197"/>
      <c r="T197"/>
      <c r="U197"/>
    </row>
    <row r="198" spans="1:21" s="262" customFormat="1">
      <c r="A198" s="273"/>
      <c r="C198" s="262" t="s">
        <v>281</v>
      </c>
      <c r="E198" s="279" t="s">
        <v>37</v>
      </c>
      <c r="F198" s="280" t="s">
        <v>207</v>
      </c>
      <c r="G198" s="280" t="s">
        <v>38</v>
      </c>
      <c r="I198" s="281" t="s">
        <v>282</v>
      </c>
      <c r="J198" s="267" t="s">
        <v>5</v>
      </c>
      <c r="K198" s="267"/>
      <c r="L198" s="280" t="s">
        <v>2</v>
      </c>
      <c r="N198" s="267" t="s">
        <v>283</v>
      </c>
      <c r="O198" s="277"/>
      <c r="P198"/>
      <c r="Q198"/>
      <c r="R198"/>
      <c r="S198"/>
      <c r="T198"/>
      <c r="U198"/>
    </row>
    <row r="199" spans="1:21" s="262" customFormat="1">
      <c r="A199" s="273"/>
      <c r="D199" s="262" t="s">
        <v>284</v>
      </c>
      <c r="E199" s="742">
        <v>0.15</v>
      </c>
      <c r="F199" s="265">
        <f>F197+0.25+0.25</f>
        <v>5</v>
      </c>
      <c r="G199" s="265">
        <f>$G$197</f>
        <v>2254</v>
      </c>
      <c r="I199" s="266">
        <f>E199*F199*G199</f>
        <v>1690.5</v>
      </c>
      <c r="J199" s="267" t="s">
        <v>18</v>
      </c>
      <c r="L199" s="265">
        <f>L161</f>
        <v>5.2121058823529411</v>
      </c>
      <c r="N199" s="282">
        <f>I199*L199</f>
        <v>8811.0649941176471</v>
      </c>
      <c r="O199" s="277"/>
      <c r="P199"/>
      <c r="Q199"/>
      <c r="R199"/>
      <c r="S199"/>
      <c r="T199"/>
      <c r="U199"/>
    </row>
    <row r="200" spans="1:21" s="262" customFormat="1">
      <c r="A200" s="273"/>
      <c r="D200" s="262" t="s">
        <v>778</v>
      </c>
      <c r="E200" s="264">
        <f>E199</f>
        <v>0.15</v>
      </c>
      <c r="F200" s="265">
        <f>F199</f>
        <v>5</v>
      </c>
      <c r="G200" s="265">
        <f t="shared" ref="G200:G211" si="10">$G$197</f>
        <v>2254</v>
      </c>
      <c r="I200" s="266">
        <f>E200*F200*G200</f>
        <v>1690.5</v>
      </c>
      <c r="J200" s="267" t="s">
        <v>18</v>
      </c>
      <c r="L200" s="265">
        <f t="shared" ref="L200:L223" si="11">L162</f>
        <v>37.441176470588232</v>
      </c>
      <c r="N200" s="282">
        <f>I200*L200</f>
        <v>63294.308823529405</v>
      </c>
      <c r="O200" s="277"/>
      <c r="P200"/>
      <c r="Q200"/>
      <c r="R200"/>
      <c r="S200"/>
      <c r="T200"/>
      <c r="U200"/>
    </row>
    <row r="201" spans="1:21" s="262" customFormat="1">
      <c r="A201" s="273"/>
      <c r="E201" s="264"/>
      <c r="F201" s="265"/>
      <c r="G201" s="265"/>
      <c r="I201" s="266"/>
      <c r="J201" s="267"/>
      <c r="L201" s="265">
        <f t="shared" si="11"/>
        <v>0</v>
      </c>
      <c r="N201" s="282"/>
      <c r="O201" s="277"/>
      <c r="P201"/>
      <c r="Q201"/>
      <c r="R201"/>
      <c r="S201"/>
      <c r="T201"/>
      <c r="U201"/>
    </row>
    <row r="202" spans="1:21" s="262" customFormat="1">
      <c r="A202" s="273"/>
      <c r="C202" s="262" t="s">
        <v>286</v>
      </c>
      <c r="E202" s="264"/>
      <c r="F202" s="265"/>
      <c r="G202" s="265"/>
      <c r="I202" s="266"/>
      <c r="J202" s="267"/>
      <c r="L202" s="265">
        <f t="shared" si="11"/>
        <v>0</v>
      </c>
      <c r="N202" s="282"/>
      <c r="O202" s="277"/>
      <c r="P202"/>
      <c r="Q202"/>
      <c r="R202"/>
      <c r="S202"/>
      <c r="T202"/>
      <c r="U202"/>
    </row>
    <row r="203" spans="1:21" s="262" customFormat="1">
      <c r="A203" s="273"/>
      <c r="D203" s="262" t="s">
        <v>287</v>
      </c>
      <c r="E203" s="264">
        <f>E206+E207+E209+E210</f>
        <v>0.8600000000000001</v>
      </c>
      <c r="F203" s="265">
        <f>F197</f>
        <v>4.5</v>
      </c>
      <c r="G203" s="265">
        <f t="shared" si="10"/>
        <v>2254</v>
      </c>
      <c r="I203" s="266">
        <f>E203*F203*G203</f>
        <v>8722.9800000000014</v>
      </c>
      <c r="J203" s="267" t="s">
        <v>18</v>
      </c>
      <c r="L203" s="265">
        <f t="shared" si="11"/>
        <v>8.2383999999999986</v>
      </c>
      <c r="N203" s="282">
        <f>I203*L203</f>
        <v>71863.398432000002</v>
      </c>
      <c r="O203" s="277"/>
      <c r="P203"/>
      <c r="Q203"/>
      <c r="R203"/>
      <c r="S203"/>
      <c r="T203"/>
      <c r="U203"/>
    </row>
    <row r="204" spans="1:21" s="262" customFormat="1">
      <c r="A204" s="273"/>
      <c r="D204" s="262" t="s">
        <v>285</v>
      </c>
      <c r="E204" s="264">
        <f>E203</f>
        <v>0.8600000000000001</v>
      </c>
      <c r="F204" s="265">
        <f>F203</f>
        <v>4.5</v>
      </c>
      <c r="G204" s="265">
        <f t="shared" si="10"/>
        <v>2254</v>
      </c>
      <c r="I204" s="266">
        <f>E204*F204*G204</f>
        <v>8722.9800000000014</v>
      </c>
      <c r="J204" s="267" t="s">
        <v>18</v>
      </c>
      <c r="L204" s="265">
        <f t="shared" si="11"/>
        <v>37.441176470588232</v>
      </c>
      <c r="N204" s="282">
        <f>I204*L204</f>
        <v>326598.6335294118</v>
      </c>
      <c r="O204" s="277"/>
      <c r="P204"/>
      <c r="Q204"/>
      <c r="R204"/>
      <c r="S204"/>
      <c r="T204"/>
      <c r="U204"/>
    </row>
    <row r="205" spans="1:21" s="262" customFormat="1">
      <c r="A205" s="273"/>
      <c r="E205" s="264"/>
      <c r="F205" s="265"/>
      <c r="G205" s="265"/>
      <c r="I205" s="266"/>
      <c r="J205" s="267"/>
      <c r="L205" s="265">
        <f t="shared" si="11"/>
        <v>0</v>
      </c>
      <c r="N205" s="282"/>
      <c r="O205" s="277"/>
      <c r="P205"/>
      <c r="Q205"/>
      <c r="R205"/>
      <c r="S205"/>
      <c r="T205"/>
      <c r="U205"/>
    </row>
    <row r="206" spans="1:21" s="262" customFormat="1">
      <c r="A206" s="273"/>
      <c r="D206" s="262" t="s">
        <v>288</v>
      </c>
      <c r="E206" s="742">
        <f>E168</f>
        <v>0.45</v>
      </c>
      <c r="F206" s="265">
        <f>F197+1</f>
        <v>5.5</v>
      </c>
      <c r="G206" s="265">
        <f t="shared" si="10"/>
        <v>2254</v>
      </c>
      <c r="I206" s="266">
        <f>F206*G206</f>
        <v>12397</v>
      </c>
      <c r="J206" s="267" t="s">
        <v>39</v>
      </c>
      <c r="L206" s="265">
        <f t="shared" si="11"/>
        <v>17.926475294117648</v>
      </c>
      <c r="N206" s="282">
        <f>I206*L206</f>
        <v>222234.51422117648</v>
      </c>
      <c r="O206" s="277"/>
      <c r="P206"/>
      <c r="Q206"/>
      <c r="R206"/>
      <c r="S206"/>
      <c r="T206"/>
      <c r="U206"/>
    </row>
    <row r="207" spans="1:21" s="262" customFormat="1">
      <c r="A207" s="273"/>
      <c r="D207" s="262" t="s">
        <v>289</v>
      </c>
      <c r="E207" s="742">
        <v>0.15</v>
      </c>
      <c r="F207" s="265">
        <f>F197</f>
        <v>4.5</v>
      </c>
      <c r="G207" s="265">
        <f t="shared" si="10"/>
        <v>2254</v>
      </c>
      <c r="I207" s="266">
        <f>F207*G207</f>
        <v>10143</v>
      </c>
      <c r="J207" s="267" t="s">
        <v>39</v>
      </c>
      <c r="L207" s="265">
        <f t="shared" si="11"/>
        <v>8.6392376470588221</v>
      </c>
      <c r="N207" s="282">
        <f>I207*L207</f>
        <v>87627.787454117628</v>
      </c>
      <c r="O207" s="277"/>
      <c r="P207"/>
      <c r="Q207"/>
      <c r="R207"/>
      <c r="S207"/>
      <c r="T207"/>
      <c r="U207"/>
    </row>
    <row r="208" spans="1:21" s="262" customFormat="1">
      <c r="A208" s="273"/>
      <c r="E208" s="264"/>
      <c r="F208" s="265"/>
      <c r="G208" s="265"/>
      <c r="I208" s="266"/>
      <c r="J208" s="267"/>
      <c r="L208" s="265">
        <f t="shared" si="11"/>
        <v>0</v>
      </c>
      <c r="N208" s="282"/>
      <c r="O208" s="277"/>
      <c r="P208"/>
      <c r="Q208"/>
      <c r="R208"/>
      <c r="S208"/>
      <c r="T208"/>
      <c r="U208"/>
    </row>
    <row r="209" spans="1:21" s="262" customFormat="1">
      <c r="A209" s="273"/>
      <c r="D209" s="262" t="s">
        <v>290</v>
      </c>
      <c r="E209" s="742">
        <v>0.2</v>
      </c>
      <c r="F209" s="265">
        <f>F197</f>
        <v>4.5</v>
      </c>
      <c r="G209" s="265">
        <f t="shared" si="10"/>
        <v>2254</v>
      </c>
      <c r="I209" s="266">
        <f>F209*G209</f>
        <v>10143</v>
      </c>
      <c r="J209" s="267" t="s">
        <v>39</v>
      </c>
      <c r="L209" s="265">
        <f t="shared" si="11"/>
        <v>22</v>
      </c>
      <c r="N209" s="282">
        <f>I209*L209</f>
        <v>223146</v>
      </c>
      <c r="O209" s="277"/>
      <c r="P209"/>
      <c r="Q209"/>
      <c r="R209"/>
      <c r="S209"/>
      <c r="T209"/>
      <c r="U209"/>
    </row>
    <row r="210" spans="1:21" s="262" customFormat="1">
      <c r="A210" s="273"/>
      <c r="D210" s="262" t="s">
        <v>291</v>
      </c>
      <c r="E210" s="742">
        <v>0.06</v>
      </c>
      <c r="F210" s="265">
        <f>F197</f>
        <v>4.5</v>
      </c>
      <c r="G210" s="265">
        <f t="shared" si="10"/>
        <v>2254</v>
      </c>
      <c r="I210" s="266">
        <f>F210*G210</f>
        <v>10143</v>
      </c>
      <c r="J210" s="267" t="s">
        <v>39</v>
      </c>
      <c r="L210" s="265">
        <f t="shared" si="11"/>
        <v>7.5</v>
      </c>
      <c r="N210" s="282">
        <f>I210*L210</f>
        <v>76072.5</v>
      </c>
      <c r="O210" s="277"/>
      <c r="P210"/>
      <c r="Q210"/>
      <c r="R210"/>
      <c r="S210"/>
      <c r="T210"/>
      <c r="U210"/>
    </row>
    <row r="211" spans="1:21" s="262" customFormat="1">
      <c r="A211" s="273"/>
      <c r="D211" s="262" t="s">
        <v>292</v>
      </c>
      <c r="E211" s="264"/>
      <c r="F211" s="265">
        <f>F197</f>
        <v>4.5</v>
      </c>
      <c r="G211" s="265">
        <f t="shared" si="10"/>
        <v>2254</v>
      </c>
      <c r="I211" s="266">
        <f>F211*G211</f>
        <v>10143</v>
      </c>
      <c r="J211" s="267" t="s">
        <v>39</v>
      </c>
      <c r="L211" s="265">
        <f t="shared" si="11"/>
        <v>0.5</v>
      </c>
      <c r="N211" s="282">
        <f>I211*L211</f>
        <v>5071.5</v>
      </c>
      <c r="O211" s="277"/>
      <c r="P211"/>
      <c r="Q211"/>
      <c r="R211" s="745">
        <f>SUM(N199:N211)</f>
        <v>1084719.7074543531</v>
      </c>
      <c r="S211"/>
      <c r="T211"/>
      <c r="U211"/>
    </row>
    <row r="212" spans="1:21" s="262" customFormat="1">
      <c r="A212" s="273"/>
      <c r="E212" s="264"/>
      <c r="F212" s="265"/>
      <c r="G212" s="265"/>
      <c r="I212" s="266"/>
      <c r="J212" s="267"/>
      <c r="L212" s="265">
        <f t="shared" si="11"/>
        <v>0</v>
      </c>
      <c r="N212" s="282"/>
      <c r="O212" s="277"/>
      <c r="P212"/>
      <c r="Q212"/>
      <c r="R212"/>
      <c r="S212"/>
      <c r="T212"/>
      <c r="U212"/>
    </row>
    <row r="213" spans="1:21" s="262" customFormat="1">
      <c r="A213" s="273"/>
      <c r="C213" s="262" t="s">
        <v>293</v>
      </c>
      <c r="E213" s="264"/>
      <c r="F213" s="265"/>
      <c r="G213" s="265"/>
      <c r="I213" s="266"/>
      <c r="J213" s="267"/>
      <c r="L213" s="265">
        <f t="shared" si="11"/>
        <v>0</v>
      </c>
      <c r="N213" s="282"/>
      <c r="O213" s="277"/>
      <c r="P213"/>
      <c r="Q213"/>
      <c r="R213"/>
      <c r="S213"/>
      <c r="T213"/>
      <c r="U213"/>
    </row>
    <row r="214" spans="1:21" s="262" customFormat="1">
      <c r="A214" s="273"/>
      <c r="D214" s="262" t="s">
        <v>294</v>
      </c>
      <c r="E214" s="264"/>
      <c r="F214" s="265"/>
      <c r="G214" s="265">
        <f>$G$197*2*0.75</f>
        <v>3381</v>
      </c>
      <c r="I214" s="266">
        <f>G214</f>
        <v>3381</v>
      </c>
      <c r="J214" s="267" t="s">
        <v>4</v>
      </c>
      <c r="L214" s="265">
        <f t="shared" si="11"/>
        <v>36.795450642034204</v>
      </c>
      <c r="N214" s="282">
        <f>I214*L214</f>
        <v>124405.41862071764</v>
      </c>
      <c r="O214" s="277"/>
      <c r="P214"/>
      <c r="Q214"/>
      <c r="R214"/>
      <c r="S214"/>
      <c r="T214"/>
      <c r="U214"/>
    </row>
    <row r="215" spans="1:21" s="262" customFormat="1">
      <c r="A215" s="273"/>
      <c r="D215" s="262" t="s">
        <v>295</v>
      </c>
      <c r="E215" s="264"/>
      <c r="F215" s="265"/>
      <c r="G215" s="265">
        <f>$G$197*2*0.25</f>
        <v>1127</v>
      </c>
      <c r="I215" s="266">
        <f>G215</f>
        <v>1127</v>
      </c>
      <c r="J215" s="267" t="s">
        <v>4</v>
      </c>
      <c r="L215" s="265">
        <f t="shared" si="11"/>
        <v>38.895450642034206</v>
      </c>
      <c r="N215" s="282">
        <f>I215*L215</f>
        <v>43835.172873572548</v>
      </c>
      <c r="O215" s="277"/>
      <c r="P215"/>
      <c r="Q215"/>
      <c r="R215"/>
      <c r="S215"/>
      <c r="T215"/>
      <c r="U215"/>
    </row>
    <row r="216" spans="1:21" s="262" customFormat="1">
      <c r="A216" s="273"/>
      <c r="E216" s="264"/>
      <c r="F216" s="265"/>
      <c r="G216" s="265"/>
      <c r="I216" s="266"/>
      <c r="J216" s="267"/>
      <c r="L216" s="265">
        <f t="shared" si="11"/>
        <v>0</v>
      </c>
      <c r="O216" s="277"/>
      <c r="P216"/>
      <c r="Q216"/>
      <c r="R216"/>
      <c r="S216"/>
      <c r="T216"/>
      <c r="U216"/>
    </row>
    <row r="217" spans="1:21" s="262" customFormat="1">
      <c r="A217" s="273"/>
      <c r="C217" s="262" t="s">
        <v>317</v>
      </c>
      <c r="E217" s="264"/>
      <c r="F217" s="265"/>
      <c r="G217" s="265"/>
      <c r="I217" s="266"/>
      <c r="J217" s="267"/>
      <c r="L217" s="265">
        <f t="shared" si="11"/>
        <v>0</v>
      </c>
      <c r="O217" s="277"/>
      <c r="P217"/>
      <c r="Q217"/>
      <c r="R217"/>
      <c r="S217"/>
      <c r="T217"/>
      <c r="U217"/>
    </row>
    <row r="218" spans="1:21" s="262" customFormat="1">
      <c r="A218" s="273"/>
      <c r="D218" s="262" t="s">
        <v>318</v>
      </c>
      <c r="E218" s="264"/>
      <c r="F218" s="265"/>
      <c r="G218" s="265">
        <f>$G$197*2*0.75</f>
        <v>3381</v>
      </c>
      <c r="I218" s="266">
        <f>G218</f>
        <v>3381</v>
      </c>
      <c r="J218" s="267" t="s">
        <v>4</v>
      </c>
      <c r="L218" s="265">
        <f t="shared" si="11"/>
        <v>40.945580498575666</v>
      </c>
      <c r="N218" s="282">
        <f>I218*L218</f>
        <v>138437.00766568433</v>
      </c>
      <c r="O218" s="277"/>
      <c r="P218"/>
      <c r="Q218"/>
      <c r="R218"/>
      <c r="S218"/>
      <c r="T218"/>
      <c r="U218"/>
    </row>
    <row r="219" spans="1:21" s="262" customFormat="1">
      <c r="A219" s="273"/>
      <c r="D219" s="262" t="s">
        <v>319</v>
      </c>
      <c r="E219" s="264"/>
      <c r="F219" s="265"/>
      <c r="G219" s="265">
        <f>$G$197*2*0.25</f>
        <v>1127</v>
      </c>
      <c r="I219" s="266">
        <f>G219</f>
        <v>1127</v>
      </c>
      <c r="J219" s="267" t="s">
        <v>4</v>
      </c>
      <c r="L219" s="265">
        <f t="shared" si="11"/>
        <v>43.045580498575667</v>
      </c>
      <c r="N219" s="282">
        <f>I219*L219</f>
        <v>48512.369221894776</v>
      </c>
      <c r="O219" s="277"/>
      <c r="P219"/>
      <c r="Q219"/>
      <c r="R219"/>
      <c r="S219" s="745">
        <f>SUM(N214:N219)</f>
        <v>355189.96838186926</v>
      </c>
      <c r="T219"/>
      <c r="U219"/>
    </row>
    <row r="220" spans="1:21" s="262" customFormat="1">
      <c r="A220" s="273"/>
      <c r="E220" s="264"/>
      <c r="F220" s="265"/>
      <c r="G220" s="265"/>
      <c r="I220" s="266"/>
      <c r="J220" s="267"/>
      <c r="L220" s="265">
        <f t="shared" si="11"/>
        <v>0</v>
      </c>
      <c r="N220" s="282"/>
      <c r="O220" s="277"/>
      <c r="P220"/>
      <c r="Q220"/>
      <c r="R220"/>
      <c r="S220"/>
      <c r="T220"/>
      <c r="U220"/>
    </row>
    <row r="221" spans="1:21" s="262" customFormat="1">
      <c r="A221" s="273"/>
      <c r="C221" s="278" t="s">
        <v>299</v>
      </c>
      <c r="E221" s="264"/>
      <c r="F221" s="265"/>
      <c r="G221" s="265"/>
      <c r="I221" s="266"/>
      <c r="J221" s="267"/>
      <c r="L221" s="265">
        <f t="shared" si="11"/>
        <v>0</v>
      </c>
      <c r="N221" s="282"/>
      <c r="O221" s="277"/>
      <c r="P221"/>
      <c r="Q221"/>
      <c r="R221"/>
      <c r="S221"/>
      <c r="T221"/>
      <c r="U221"/>
    </row>
    <row r="222" spans="1:21" s="262" customFormat="1">
      <c r="A222" s="273"/>
      <c r="D222" s="262" t="s">
        <v>300</v>
      </c>
      <c r="E222" s="264" t="s">
        <v>301</v>
      </c>
      <c r="F222" s="265"/>
      <c r="G222" s="265">
        <f>$G$197</f>
        <v>2254</v>
      </c>
      <c r="I222" s="266">
        <f>((G222/35)+1)*2</f>
        <v>130.80000000000001</v>
      </c>
      <c r="J222" s="267" t="s">
        <v>19</v>
      </c>
      <c r="L222" s="265">
        <f t="shared" si="11"/>
        <v>112</v>
      </c>
      <c r="N222" s="282">
        <f>I222*L222</f>
        <v>14649.600000000002</v>
      </c>
      <c r="O222" s="277"/>
      <c r="P222"/>
      <c r="Q222"/>
      <c r="R222"/>
      <c r="S222"/>
      <c r="T222"/>
      <c r="U222"/>
    </row>
    <row r="223" spans="1:21" s="262" customFormat="1">
      <c r="A223" s="273"/>
      <c r="D223" s="262" t="s">
        <v>302</v>
      </c>
      <c r="E223" s="264" t="s">
        <v>303</v>
      </c>
      <c r="F223" s="265"/>
      <c r="G223" s="265">
        <f>$G$197</f>
        <v>2254</v>
      </c>
      <c r="I223" s="266">
        <f>((G223/20)+1)*2</f>
        <v>227.4</v>
      </c>
      <c r="J223" s="267" t="s">
        <v>19</v>
      </c>
      <c r="L223" s="265">
        <f t="shared" si="11"/>
        <v>98</v>
      </c>
      <c r="N223" s="282">
        <f>I223*L223</f>
        <v>22285.200000000001</v>
      </c>
      <c r="O223" s="277"/>
      <c r="P223"/>
      <c r="Q223"/>
      <c r="R223"/>
      <c r="S223"/>
      <c r="T223"/>
      <c r="U223"/>
    </row>
    <row r="224" spans="1:21" s="262" customFormat="1">
      <c r="A224" s="273"/>
      <c r="E224" s="264"/>
      <c r="F224" s="265"/>
      <c r="G224" s="265"/>
      <c r="I224" s="266"/>
      <c r="J224" s="267"/>
      <c r="L224" s="265"/>
      <c r="N224" s="282"/>
      <c r="O224" s="277"/>
      <c r="P224"/>
      <c r="Q224"/>
      <c r="R224"/>
      <c r="S224"/>
      <c r="T224"/>
      <c r="U224"/>
    </row>
    <row r="225" spans="1:21" s="262" customFormat="1">
      <c r="A225" s="273"/>
      <c r="D225" s="262" t="s">
        <v>320</v>
      </c>
      <c r="E225" s="264"/>
      <c r="F225" s="265">
        <f>$F$5</f>
        <v>5.5</v>
      </c>
      <c r="G225" s="265">
        <f>$G$197</f>
        <v>2254</v>
      </c>
      <c r="I225" s="266">
        <f>F225*G225</f>
        <v>12397</v>
      </c>
      <c r="J225" s="267" t="s">
        <v>39</v>
      </c>
      <c r="L225" s="744">
        <v>0.5</v>
      </c>
      <c r="N225" s="282">
        <f>I225*L225</f>
        <v>6198.5</v>
      </c>
      <c r="O225" s="277"/>
      <c r="P225"/>
      <c r="Q225"/>
      <c r="R225"/>
      <c r="S225"/>
      <c r="T225"/>
      <c r="U225"/>
    </row>
    <row r="226" spans="1:21" s="262" customFormat="1">
      <c r="A226" s="273"/>
      <c r="D226" s="262" t="s">
        <v>321</v>
      </c>
      <c r="E226" s="742">
        <v>0.08</v>
      </c>
      <c r="F226" s="265">
        <f>$F$5</f>
        <v>5.5</v>
      </c>
      <c r="G226" s="265">
        <f>$G$197</f>
        <v>2254</v>
      </c>
      <c r="I226" s="266">
        <f>F226*G226</f>
        <v>12397</v>
      </c>
      <c r="J226" s="267" t="s">
        <v>39</v>
      </c>
      <c r="L226" s="744">
        <v>25</v>
      </c>
      <c r="N226" s="282">
        <f>I226*L226</f>
        <v>309925</v>
      </c>
      <c r="O226" s="277"/>
      <c r="P226"/>
      <c r="Q226"/>
      <c r="R226"/>
      <c r="S226"/>
      <c r="T226" s="745">
        <f>SUM(N222:N226)</f>
        <v>353058.3</v>
      </c>
      <c r="U226"/>
    </row>
    <row r="227" spans="1:21" s="262" customFormat="1">
      <c r="A227" s="273"/>
      <c r="E227" s="264"/>
      <c r="F227" s="265"/>
      <c r="G227" s="265"/>
      <c r="I227" s="266"/>
      <c r="J227" s="267"/>
      <c r="L227" s="265"/>
      <c r="N227" s="282"/>
      <c r="O227" s="277"/>
      <c r="P227"/>
      <c r="Q227"/>
      <c r="R227"/>
      <c r="S227"/>
      <c r="T227"/>
      <c r="U227"/>
    </row>
    <row r="228" spans="1:21" s="262" customFormat="1">
      <c r="A228" s="273"/>
      <c r="D228" s="262" t="s">
        <v>306</v>
      </c>
      <c r="E228" s="264"/>
      <c r="F228" s="265">
        <v>2</v>
      </c>
      <c r="G228" s="265">
        <f>$G$197</f>
        <v>2254</v>
      </c>
      <c r="I228" s="266"/>
      <c r="J228" s="267" t="s">
        <v>4</v>
      </c>
      <c r="L228" s="265">
        <f>L190</f>
        <v>2.5</v>
      </c>
      <c r="N228" s="282">
        <f>I228*L228</f>
        <v>0</v>
      </c>
      <c r="O228" s="277"/>
      <c r="P228"/>
      <c r="Q228"/>
      <c r="R228"/>
      <c r="S228"/>
      <c r="T228"/>
      <c r="U228"/>
    </row>
    <row r="229" spans="1:21" s="262" customFormat="1">
      <c r="A229" s="273"/>
      <c r="D229" s="262" t="s">
        <v>307</v>
      </c>
      <c r="E229" s="264"/>
      <c r="F229" s="265"/>
      <c r="G229" s="265"/>
      <c r="I229" s="266">
        <f>(G197/30)*2</f>
        <v>150.26666666666668</v>
      </c>
      <c r="J229" s="267" t="s">
        <v>19</v>
      </c>
      <c r="L229" s="265">
        <f>L191</f>
        <v>750</v>
      </c>
      <c r="N229" s="282">
        <f>I229*L229</f>
        <v>112700.00000000001</v>
      </c>
      <c r="O229" s="277"/>
      <c r="P229"/>
      <c r="Q229"/>
      <c r="R229"/>
      <c r="S229"/>
      <c r="T229"/>
      <c r="U229" s="745">
        <f>SUM(N228:N229)</f>
        <v>112700.00000000001</v>
      </c>
    </row>
    <row r="230" spans="1:21" s="262" customFormat="1">
      <c r="A230" s="273"/>
      <c r="E230" s="264"/>
      <c r="F230" s="265"/>
      <c r="G230" s="265"/>
      <c r="I230" s="266"/>
      <c r="J230" s="267"/>
      <c r="L230" s="265"/>
      <c r="O230" s="277"/>
      <c r="P230"/>
      <c r="Q230"/>
    </row>
    <row r="231" spans="1:21" s="262" customFormat="1" ht="16" thickBot="1">
      <c r="A231" s="273"/>
      <c r="E231" s="264"/>
      <c r="F231" s="265"/>
      <c r="G231" s="265"/>
      <c r="I231" s="266"/>
      <c r="J231" s="267"/>
      <c r="K231" s="283"/>
      <c r="L231" s="284" t="s">
        <v>308</v>
      </c>
      <c r="M231" s="283" t="s">
        <v>309</v>
      </c>
      <c r="N231" s="285">
        <f>SUM(N199:N229)</f>
        <v>1905667.9758362225</v>
      </c>
      <c r="O231" s="277"/>
      <c r="P231"/>
      <c r="Q231"/>
    </row>
    <row r="232" spans="1:21" s="262" customFormat="1" ht="17" thickTop="1" thickBot="1">
      <c r="A232" s="286"/>
      <c r="B232" s="287"/>
      <c r="C232" s="287"/>
      <c r="D232" s="287"/>
      <c r="E232" s="288"/>
      <c r="F232" s="289"/>
      <c r="G232" s="289"/>
      <c r="H232" s="287"/>
      <c r="I232" s="290"/>
      <c r="J232" s="291"/>
      <c r="K232" s="287"/>
      <c r="L232" s="289"/>
      <c r="M232" s="287"/>
      <c r="N232" s="287"/>
      <c r="O232" s="292"/>
      <c r="P232"/>
      <c r="Q232"/>
    </row>
    <row r="233" spans="1:21" s="262" customFormat="1">
      <c r="A233" s="269"/>
      <c r="B233" s="270"/>
      <c r="C233" s="270"/>
      <c r="D233" s="270"/>
      <c r="E233" s="270"/>
      <c r="F233" s="270"/>
      <c r="G233" s="270"/>
      <c r="H233" s="271"/>
      <c r="I233" s="270"/>
      <c r="J233" s="270"/>
      <c r="K233" s="270"/>
      <c r="L233" s="270"/>
      <c r="M233" s="270"/>
      <c r="N233" s="270"/>
      <c r="O233" s="272"/>
      <c r="P233"/>
      <c r="Q233"/>
    </row>
    <row r="234" spans="1:21" s="262" customFormat="1">
      <c r="A234" s="273"/>
      <c r="B234" s="274" t="s">
        <v>322</v>
      </c>
      <c r="C234" s="275"/>
      <c r="D234" s="275"/>
      <c r="E234" s="276"/>
      <c r="J234" s="1175" t="s">
        <v>279</v>
      </c>
      <c r="K234" s="1176"/>
      <c r="L234" s="1176"/>
      <c r="M234" s="1177"/>
      <c r="N234" s="738">
        <f>IFERROR(N269/G235,0)</f>
        <v>557.04882605882347</v>
      </c>
      <c r="O234" s="277"/>
      <c r="P234"/>
      <c r="Q234"/>
      <c r="R234" s="739" t="s">
        <v>773</v>
      </c>
      <c r="S234" s="739" t="s">
        <v>774</v>
      </c>
      <c r="T234" s="739" t="s">
        <v>775</v>
      </c>
      <c r="U234" s="739" t="s">
        <v>776</v>
      </c>
    </row>
    <row r="235" spans="1:21" s="262" customFormat="1">
      <c r="A235" s="273"/>
      <c r="C235" s="278" t="s">
        <v>280</v>
      </c>
      <c r="E235" s="264"/>
      <c r="F235" s="740">
        <v>6</v>
      </c>
      <c r="G235" s="740">
        <v>225</v>
      </c>
      <c r="I235" s="266"/>
      <c r="J235" s="267"/>
      <c r="L235" s="265"/>
      <c r="O235" s="277"/>
      <c r="P235"/>
      <c r="Q235"/>
      <c r="R235"/>
      <c r="S235"/>
      <c r="T235"/>
      <c r="U235"/>
    </row>
    <row r="236" spans="1:21" s="262" customFormat="1">
      <c r="A236" s="273"/>
      <c r="C236" s="262" t="s">
        <v>281</v>
      </c>
      <c r="E236" s="279" t="s">
        <v>37</v>
      </c>
      <c r="F236" s="280" t="s">
        <v>207</v>
      </c>
      <c r="G236" s="280" t="s">
        <v>38</v>
      </c>
      <c r="I236" s="281" t="s">
        <v>282</v>
      </c>
      <c r="J236" s="267" t="s">
        <v>5</v>
      </c>
      <c r="K236" s="267"/>
      <c r="L236" s="280" t="s">
        <v>2</v>
      </c>
      <c r="N236" s="267" t="s">
        <v>283</v>
      </c>
      <c r="O236" s="277"/>
      <c r="P236"/>
      <c r="Q236"/>
      <c r="R236"/>
      <c r="S236"/>
      <c r="T236"/>
      <c r="U236"/>
    </row>
    <row r="237" spans="1:21" s="262" customFormat="1">
      <c r="A237" s="273"/>
      <c r="D237" s="262" t="s">
        <v>284</v>
      </c>
      <c r="E237" s="742">
        <v>0.15</v>
      </c>
      <c r="F237" s="265">
        <f>F235+0.25+0.25</f>
        <v>6.5</v>
      </c>
      <c r="G237" s="265">
        <f>$G$235</f>
        <v>225</v>
      </c>
      <c r="I237" s="266">
        <f>E237*F237*G237</f>
        <v>219.375</v>
      </c>
      <c r="J237" s="267" t="s">
        <v>18</v>
      </c>
      <c r="L237" s="265">
        <f>L199</f>
        <v>5.2121058823529411</v>
      </c>
      <c r="N237" s="282">
        <f>I237*L237</f>
        <v>1143.4057279411766</v>
      </c>
      <c r="O237" s="277"/>
      <c r="P237"/>
      <c r="Q237"/>
      <c r="R237"/>
      <c r="S237"/>
      <c r="T237"/>
      <c r="U237"/>
    </row>
    <row r="238" spans="1:21" s="262" customFormat="1">
      <c r="A238" s="273"/>
      <c r="D238" s="262" t="s">
        <v>778</v>
      </c>
      <c r="E238" s="264">
        <f>E237</f>
        <v>0.15</v>
      </c>
      <c r="F238" s="265">
        <f>F237</f>
        <v>6.5</v>
      </c>
      <c r="G238" s="265">
        <f t="shared" ref="G238:G249" si="12">$G$235</f>
        <v>225</v>
      </c>
      <c r="I238" s="266">
        <f>E238*F238*G238</f>
        <v>219.375</v>
      </c>
      <c r="J238" s="267" t="s">
        <v>18</v>
      </c>
      <c r="L238" s="265">
        <f t="shared" ref="L238:L263" si="13">L200</f>
        <v>37.441176470588232</v>
      </c>
      <c r="N238" s="282">
        <f>I238*L238</f>
        <v>8213.6580882352937</v>
      </c>
      <c r="O238" s="277"/>
      <c r="P238"/>
      <c r="Q238"/>
      <c r="R238"/>
      <c r="S238"/>
      <c r="T238"/>
      <c r="U238"/>
    </row>
    <row r="239" spans="1:21" s="262" customFormat="1">
      <c r="A239" s="273"/>
      <c r="E239" s="264"/>
      <c r="F239" s="265"/>
      <c r="G239" s="265"/>
      <c r="I239" s="266"/>
      <c r="J239" s="267"/>
      <c r="L239" s="265">
        <f t="shared" si="13"/>
        <v>0</v>
      </c>
      <c r="N239" s="282"/>
      <c r="O239" s="277"/>
      <c r="P239"/>
      <c r="Q239"/>
      <c r="R239"/>
      <c r="S239"/>
      <c r="T239"/>
      <c r="U239"/>
    </row>
    <row r="240" spans="1:21" s="262" customFormat="1">
      <c r="A240" s="273"/>
      <c r="C240" s="262" t="s">
        <v>286</v>
      </c>
      <c r="E240" s="264"/>
      <c r="F240" s="265"/>
      <c r="G240" s="265"/>
      <c r="I240" s="266"/>
      <c r="J240" s="267"/>
      <c r="L240" s="265">
        <f t="shared" si="13"/>
        <v>0</v>
      </c>
      <c r="N240" s="282"/>
      <c r="O240" s="277"/>
      <c r="P240"/>
      <c r="Q240"/>
      <c r="R240"/>
      <c r="S240"/>
      <c r="T240"/>
      <c r="U240"/>
    </row>
    <row r="241" spans="1:21" s="262" customFormat="1">
      <c r="A241" s="273"/>
      <c r="D241" s="262" t="s">
        <v>287</v>
      </c>
      <c r="E241" s="264">
        <f>E244+E245+E247+E248</f>
        <v>0.65999999999999992</v>
      </c>
      <c r="F241" s="265">
        <f>F235</f>
        <v>6</v>
      </c>
      <c r="G241" s="265">
        <f t="shared" si="12"/>
        <v>225</v>
      </c>
      <c r="I241" s="266">
        <f>E241*F241*G241</f>
        <v>890.99999999999989</v>
      </c>
      <c r="J241" s="267" t="s">
        <v>18</v>
      </c>
      <c r="L241" s="265">
        <f t="shared" si="13"/>
        <v>8.2383999999999986</v>
      </c>
      <c r="N241" s="282">
        <f>I241*L241</f>
        <v>7340.4143999999978</v>
      </c>
      <c r="O241" s="277"/>
      <c r="P241"/>
      <c r="Q241"/>
      <c r="R241"/>
      <c r="S241"/>
      <c r="T241"/>
      <c r="U241"/>
    </row>
    <row r="242" spans="1:21" s="262" customFormat="1">
      <c r="A242" s="273"/>
      <c r="D242" s="262" t="s">
        <v>285</v>
      </c>
      <c r="E242" s="264">
        <f>E241</f>
        <v>0.65999999999999992</v>
      </c>
      <c r="F242" s="265">
        <f>F241</f>
        <v>6</v>
      </c>
      <c r="G242" s="265">
        <f t="shared" si="12"/>
        <v>225</v>
      </c>
      <c r="I242" s="266">
        <f>E242*F242*G242</f>
        <v>890.99999999999989</v>
      </c>
      <c r="J242" s="267" t="s">
        <v>18</v>
      </c>
      <c r="L242" s="265">
        <f t="shared" si="13"/>
        <v>37.441176470588232</v>
      </c>
      <c r="N242" s="282">
        <f>I242*L242</f>
        <v>33360.088235294112</v>
      </c>
      <c r="O242" s="277"/>
      <c r="P242"/>
      <c r="Q242"/>
      <c r="R242"/>
      <c r="S242"/>
      <c r="T242"/>
      <c r="U242"/>
    </row>
    <row r="243" spans="1:21" s="262" customFormat="1">
      <c r="A243" s="273"/>
      <c r="E243" s="264"/>
      <c r="F243" s="265"/>
      <c r="G243" s="265"/>
      <c r="I243" s="266"/>
      <c r="J243" s="267"/>
      <c r="L243" s="265">
        <f t="shared" si="13"/>
        <v>0</v>
      </c>
      <c r="N243" s="282"/>
      <c r="O243" s="277"/>
      <c r="P243"/>
      <c r="Q243"/>
      <c r="R243"/>
      <c r="S243"/>
      <c r="T243"/>
      <c r="U243"/>
    </row>
    <row r="244" spans="1:21" s="262" customFormat="1">
      <c r="A244" s="273"/>
      <c r="D244" s="262" t="s">
        <v>288</v>
      </c>
      <c r="E244" s="742">
        <f>E206</f>
        <v>0.45</v>
      </c>
      <c r="F244" s="265">
        <f>F235+1</f>
        <v>7</v>
      </c>
      <c r="G244" s="265">
        <f t="shared" si="12"/>
        <v>225</v>
      </c>
      <c r="I244" s="266">
        <f>F244*G244</f>
        <v>1575</v>
      </c>
      <c r="J244" s="267" t="s">
        <v>39</v>
      </c>
      <c r="L244" s="265">
        <f t="shared" si="13"/>
        <v>17.926475294117648</v>
      </c>
      <c r="N244" s="282">
        <f>I244*L244</f>
        <v>28234.198588235296</v>
      </c>
      <c r="O244" s="277"/>
      <c r="P244"/>
      <c r="Q244"/>
      <c r="R244"/>
      <c r="S244"/>
      <c r="T244"/>
      <c r="U244"/>
    </row>
    <row r="245" spans="1:21" s="262" customFormat="1">
      <c r="A245" s="273"/>
      <c r="D245" s="262" t="s">
        <v>289</v>
      </c>
      <c r="E245" s="742">
        <v>0.15</v>
      </c>
      <c r="F245" s="265">
        <f>F235</f>
        <v>6</v>
      </c>
      <c r="G245" s="265">
        <f t="shared" si="12"/>
        <v>225</v>
      </c>
      <c r="I245" s="266">
        <f>F245*G245</f>
        <v>1350</v>
      </c>
      <c r="J245" s="267" t="s">
        <v>39</v>
      </c>
      <c r="L245" s="265">
        <f t="shared" si="13"/>
        <v>8.6392376470588221</v>
      </c>
      <c r="N245" s="282">
        <f>I245*L245</f>
        <v>11662.970823529409</v>
      </c>
      <c r="O245" s="277"/>
      <c r="P245"/>
      <c r="Q245"/>
      <c r="R245"/>
      <c r="S245"/>
      <c r="T245"/>
      <c r="U245"/>
    </row>
    <row r="246" spans="1:21" s="262" customFormat="1">
      <c r="A246" s="273"/>
      <c r="E246" s="264"/>
      <c r="F246" s="265"/>
      <c r="G246" s="265"/>
      <c r="I246" s="266"/>
      <c r="J246" s="267"/>
      <c r="L246" s="265">
        <f t="shared" si="13"/>
        <v>0</v>
      </c>
      <c r="N246" s="282"/>
      <c r="O246" s="277"/>
      <c r="P246"/>
      <c r="Q246"/>
      <c r="R246"/>
      <c r="S246"/>
      <c r="T246"/>
      <c r="U246"/>
    </row>
    <row r="247" spans="1:21" s="262" customFormat="1">
      <c r="A247" s="273"/>
      <c r="D247" s="262" t="s">
        <v>290</v>
      </c>
      <c r="E247" s="264">
        <v>0</v>
      </c>
      <c r="F247" s="265">
        <v>0</v>
      </c>
      <c r="G247" s="265">
        <f t="shared" si="12"/>
        <v>225</v>
      </c>
      <c r="I247" s="266">
        <f>F247*G247</f>
        <v>0</v>
      </c>
      <c r="J247" s="267" t="s">
        <v>39</v>
      </c>
      <c r="L247" s="265">
        <f t="shared" si="13"/>
        <v>22</v>
      </c>
      <c r="N247" s="282">
        <f>I247*L247</f>
        <v>0</v>
      </c>
      <c r="O247" s="277"/>
      <c r="P247"/>
      <c r="Q247"/>
      <c r="R247"/>
      <c r="S247"/>
      <c r="T247"/>
      <c r="U247"/>
    </row>
    <row r="248" spans="1:21" s="262" customFormat="1">
      <c r="A248" s="273"/>
      <c r="D248" s="262" t="s">
        <v>291</v>
      </c>
      <c r="E248" s="742">
        <v>0.06</v>
      </c>
      <c r="F248" s="265">
        <f>F235</f>
        <v>6</v>
      </c>
      <c r="G248" s="265">
        <f t="shared" si="12"/>
        <v>225</v>
      </c>
      <c r="I248" s="266">
        <f>F248*G248</f>
        <v>1350</v>
      </c>
      <c r="J248" s="267" t="s">
        <v>39</v>
      </c>
      <c r="L248" s="265">
        <f t="shared" si="13"/>
        <v>7.5</v>
      </c>
      <c r="N248" s="282">
        <f>I248*L248</f>
        <v>10125</v>
      </c>
      <c r="O248" s="277"/>
      <c r="P248"/>
      <c r="Q248"/>
      <c r="R248"/>
      <c r="S248"/>
      <c r="T248"/>
      <c r="U248"/>
    </row>
    <row r="249" spans="1:21" s="262" customFormat="1">
      <c r="A249" s="273"/>
      <c r="D249" s="262" t="s">
        <v>292</v>
      </c>
      <c r="E249" s="264"/>
      <c r="F249" s="265">
        <f>F235</f>
        <v>6</v>
      </c>
      <c r="G249" s="265">
        <f t="shared" si="12"/>
        <v>225</v>
      </c>
      <c r="I249" s="266">
        <f>F249*G249</f>
        <v>1350</v>
      </c>
      <c r="J249" s="267" t="s">
        <v>39</v>
      </c>
      <c r="L249" s="265">
        <f t="shared" si="13"/>
        <v>0.5</v>
      </c>
      <c r="N249" s="282">
        <f>I249*L249</f>
        <v>675</v>
      </c>
      <c r="O249" s="277"/>
      <c r="P249"/>
      <c r="Q249"/>
      <c r="R249" s="745">
        <f>SUM(N237:N249)</f>
        <v>100754.73586323528</v>
      </c>
      <c r="S249"/>
      <c r="T249"/>
      <c r="U249"/>
    </row>
    <row r="250" spans="1:21" s="262" customFormat="1">
      <c r="A250" s="273"/>
      <c r="E250" s="264"/>
      <c r="F250" s="265"/>
      <c r="G250" s="265"/>
      <c r="I250" s="266"/>
      <c r="J250" s="267"/>
      <c r="L250" s="265">
        <f t="shared" si="13"/>
        <v>0</v>
      </c>
      <c r="N250" s="282"/>
      <c r="O250" s="277"/>
      <c r="P250"/>
      <c r="Q250"/>
      <c r="R250"/>
      <c r="S250"/>
      <c r="T250"/>
      <c r="U250"/>
    </row>
    <row r="251" spans="1:21" s="262" customFormat="1">
      <c r="A251" s="273"/>
      <c r="C251" s="262" t="s">
        <v>293</v>
      </c>
      <c r="E251" s="264"/>
      <c r="F251" s="265"/>
      <c r="G251" s="265"/>
      <c r="I251" s="266"/>
      <c r="J251" s="267"/>
      <c r="L251" s="265">
        <f t="shared" si="13"/>
        <v>0</v>
      </c>
      <c r="N251" s="282"/>
      <c r="O251" s="277"/>
      <c r="P251"/>
      <c r="Q251"/>
      <c r="R251"/>
      <c r="S251"/>
      <c r="T251"/>
      <c r="U251"/>
    </row>
    <row r="252" spans="1:21" s="262" customFormat="1">
      <c r="A252" s="273"/>
      <c r="D252" s="262" t="s">
        <v>294</v>
      </c>
      <c r="E252" s="264"/>
      <c r="F252" s="265"/>
      <c r="G252" s="265"/>
      <c r="I252" s="266">
        <f>G252</f>
        <v>0</v>
      </c>
      <c r="J252" s="267" t="s">
        <v>4</v>
      </c>
      <c r="L252" s="265">
        <f t="shared" si="13"/>
        <v>36.795450642034204</v>
      </c>
      <c r="N252" s="282">
        <f>I252*L252</f>
        <v>0</v>
      </c>
      <c r="O252" s="277"/>
      <c r="P252"/>
      <c r="Q252"/>
      <c r="R252"/>
      <c r="S252"/>
      <c r="T252"/>
      <c r="U252"/>
    </row>
    <row r="253" spans="1:21" s="262" customFormat="1">
      <c r="A253" s="273"/>
      <c r="D253" s="262" t="s">
        <v>295</v>
      </c>
      <c r="E253" s="264"/>
      <c r="F253" s="265"/>
      <c r="G253" s="265"/>
      <c r="I253" s="266">
        <f>G253</f>
        <v>0</v>
      </c>
      <c r="J253" s="267" t="s">
        <v>4</v>
      </c>
      <c r="L253" s="265">
        <f t="shared" si="13"/>
        <v>38.895450642034206</v>
      </c>
      <c r="N253" s="282">
        <f>I253*L253</f>
        <v>0</v>
      </c>
      <c r="O253" s="277"/>
      <c r="P253"/>
      <c r="Q253"/>
      <c r="R253"/>
      <c r="S253"/>
      <c r="T253"/>
      <c r="U253"/>
    </row>
    <row r="254" spans="1:21" s="262" customFormat="1">
      <c r="A254" s="273"/>
      <c r="E254" s="264"/>
      <c r="F254" s="265"/>
      <c r="G254" s="265"/>
      <c r="I254" s="266"/>
      <c r="J254" s="267"/>
      <c r="L254" s="265">
        <f t="shared" si="13"/>
        <v>0</v>
      </c>
      <c r="O254" s="277"/>
      <c r="P254"/>
      <c r="Q254"/>
      <c r="R254"/>
      <c r="S254"/>
      <c r="T254"/>
      <c r="U254"/>
    </row>
    <row r="255" spans="1:21" s="262" customFormat="1">
      <c r="A255" s="273"/>
      <c r="C255" s="262" t="s">
        <v>296</v>
      </c>
      <c r="E255" s="264"/>
      <c r="F255" s="265"/>
      <c r="G255" s="265"/>
      <c r="I255" s="266"/>
      <c r="J255" s="267"/>
      <c r="L255" s="265">
        <f t="shared" si="13"/>
        <v>0</v>
      </c>
      <c r="O255" s="277"/>
      <c r="P255"/>
      <c r="Q255"/>
      <c r="R255"/>
      <c r="S255"/>
      <c r="T255"/>
      <c r="U255"/>
    </row>
    <row r="256" spans="1:21" s="262" customFormat="1">
      <c r="A256" s="273"/>
      <c r="D256" s="262" t="s">
        <v>297</v>
      </c>
      <c r="E256" s="264"/>
      <c r="F256" s="265"/>
      <c r="G256" s="265"/>
      <c r="I256" s="266">
        <f>G256</f>
        <v>0</v>
      </c>
      <c r="J256" s="267" t="s">
        <v>4</v>
      </c>
      <c r="L256" s="265">
        <f t="shared" si="13"/>
        <v>40.945580498575666</v>
      </c>
      <c r="N256" s="282">
        <f>I256*L256</f>
        <v>0</v>
      </c>
      <c r="O256" s="277"/>
      <c r="P256"/>
      <c r="Q256"/>
      <c r="R256"/>
      <c r="S256"/>
      <c r="T256"/>
      <c r="U256"/>
    </row>
    <row r="257" spans="1:21" s="262" customFormat="1">
      <c r="A257" s="273"/>
      <c r="D257" s="262" t="s">
        <v>298</v>
      </c>
      <c r="E257" s="264"/>
      <c r="F257" s="265"/>
      <c r="G257" s="265"/>
      <c r="I257" s="266">
        <f>G257</f>
        <v>0</v>
      </c>
      <c r="J257" s="267" t="s">
        <v>4</v>
      </c>
      <c r="L257" s="265">
        <f t="shared" si="13"/>
        <v>43.045580498575667</v>
      </c>
      <c r="N257" s="282">
        <f>I257*L257</f>
        <v>0</v>
      </c>
      <c r="O257" s="277"/>
      <c r="P257"/>
      <c r="Q257"/>
      <c r="R257"/>
      <c r="S257" s="745">
        <f>SUM(N252:N257)</f>
        <v>0</v>
      </c>
      <c r="T257"/>
      <c r="U257"/>
    </row>
    <row r="258" spans="1:21" s="262" customFormat="1">
      <c r="A258" s="273"/>
      <c r="E258" s="264"/>
      <c r="F258" s="265"/>
      <c r="G258" s="265"/>
      <c r="I258" s="266"/>
      <c r="J258" s="267"/>
      <c r="L258" s="265">
        <f t="shared" si="13"/>
        <v>0</v>
      </c>
      <c r="N258" s="282"/>
      <c r="O258" s="277"/>
      <c r="P258"/>
      <c r="Q258"/>
      <c r="R258"/>
      <c r="S258"/>
      <c r="T258"/>
      <c r="U258"/>
    </row>
    <row r="259" spans="1:21" s="262" customFormat="1">
      <c r="A259" s="273"/>
      <c r="C259" s="278" t="s">
        <v>299</v>
      </c>
      <c r="E259" s="264"/>
      <c r="F259" s="265"/>
      <c r="G259" s="265"/>
      <c r="I259" s="266"/>
      <c r="J259" s="267"/>
      <c r="L259" s="265">
        <f t="shared" si="13"/>
        <v>0</v>
      </c>
      <c r="N259" s="282"/>
      <c r="O259" s="277"/>
      <c r="P259"/>
      <c r="Q259"/>
      <c r="R259"/>
      <c r="S259"/>
      <c r="T259"/>
      <c r="U259"/>
    </row>
    <row r="260" spans="1:21" s="262" customFormat="1">
      <c r="A260" s="273"/>
      <c r="D260" s="262" t="s">
        <v>300</v>
      </c>
      <c r="E260" s="264" t="s">
        <v>301</v>
      </c>
      <c r="F260" s="265"/>
      <c r="G260" s="265">
        <f>$G$235</f>
        <v>225</v>
      </c>
      <c r="I260" s="266">
        <f>((G260/35)+1)*2</f>
        <v>14.857142857142858</v>
      </c>
      <c r="J260" s="267" t="s">
        <v>19</v>
      </c>
      <c r="L260" s="265">
        <f t="shared" si="13"/>
        <v>112</v>
      </c>
      <c r="N260" s="282">
        <f>I260*L260</f>
        <v>1664</v>
      </c>
      <c r="O260" s="277"/>
      <c r="P260"/>
      <c r="Q260"/>
      <c r="R260"/>
      <c r="S260"/>
      <c r="T260"/>
      <c r="U260"/>
    </row>
    <row r="261" spans="1:21" s="262" customFormat="1">
      <c r="A261" s="273"/>
      <c r="D261" s="262" t="s">
        <v>302</v>
      </c>
      <c r="E261" s="264" t="s">
        <v>303</v>
      </c>
      <c r="F261" s="265"/>
      <c r="G261" s="265">
        <f>$G$235</f>
        <v>225</v>
      </c>
      <c r="I261" s="266">
        <f>((G261/20)+1)*2</f>
        <v>24.5</v>
      </c>
      <c r="J261" s="267" t="s">
        <v>19</v>
      </c>
      <c r="L261" s="265">
        <f t="shared" si="13"/>
        <v>98</v>
      </c>
      <c r="N261" s="282">
        <f>I261*L261</f>
        <v>2401</v>
      </c>
      <c r="O261" s="277"/>
      <c r="P261"/>
      <c r="Q261"/>
      <c r="R261"/>
      <c r="S261"/>
      <c r="T261"/>
      <c r="U261"/>
    </row>
    <row r="262" spans="1:21" s="262" customFormat="1">
      <c r="A262" s="273"/>
      <c r="E262" s="264"/>
      <c r="F262" s="265"/>
      <c r="G262" s="265"/>
      <c r="I262" s="266"/>
      <c r="J262" s="267"/>
      <c r="L262" s="265">
        <f t="shared" si="13"/>
        <v>0</v>
      </c>
      <c r="N262" s="282"/>
      <c r="O262" s="277"/>
      <c r="P262"/>
      <c r="Q262"/>
      <c r="R262"/>
      <c r="S262"/>
      <c r="T262"/>
      <c r="U262"/>
    </row>
    <row r="263" spans="1:21" s="262" customFormat="1">
      <c r="A263" s="273"/>
      <c r="D263" s="262" t="s">
        <v>304</v>
      </c>
      <c r="E263" s="264"/>
      <c r="F263" s="265">
        <f>$F$5</f>
        <v>5.5</v>
      </c>
      <c r="G263" s="265">
        <f>$G$235</f>
        <v>225</v>
      </c>
      <c r="I263" s="266">
        <f>F263*G263</f>
        <v>1237.5</v>
      </c>
      <c r="J263" s="267" t="s">
        <v>39</v>
      </c>
      <c r="L263" s="265">
        <f t="shared" si="13"/>
        <v>0.5</v>
      </c>
      <c r="N263" s="282">
        <f>I263*L263</f>
        <v>618.75</v>
      </c>
      <c r="O263" s="277"/>
      <c r="P263"/>
      <c r="Q263"/>
      <c r="R263"/>
      <c r="S263"/>
      <c r="T263"/>
      <c r="U263"/>
    </row>
    <row r="264" spans="1:21" s="262" customFormat="1">
      <c r="A264" s="273"/>
      <c r="D264" s="262" t="s">
        <v>305</v>
      </c>
      <c r="E264" s="742">
        <v>0.05</v>
      </c>
      <c r="F264" s="265">
        <f>$F$5</f>
        <v>5.5</v>
      </c>
      <c r="G264" s="265">
        <f>$G$235</f>
        <v>225</v>
      </c>
      <c r="I264" s="266">
        <f>F264*G264</f>
        <v>1237.5</v>
      </c>
      <c r="J264" s="267" t="s">
        <v>39</v>
      </c>
      <c r="L264" s="744">
        <v>15</v>
      </c>
      <c r="N264" s="282">
        <f>I264*L264</f>
        <v>18562.5</v>
      </c>
      <c r="O264" s="277"/>
      <c r="P264"/>
      <c r="Q264"/>
      <c r="R264"/>
      <c r="S264"/>
      <c r="T264" s="745">
        <f>SUM(N260:N264)</f>
        <v>23246.25</v>
      </c>
      <c r="U264"/>
    </row>
    <row r="265" spans="1:21" s="262" customFormat="1">
      <c r="A265" s="273"/>
      <c r="E265" s="264"/>
      <c r="F265" s="265"/>
      <c r="G265" s="265"/>
      <c r="I265" s="266"/>
      <c r="J265" s="267"/>
      <c r="L265" s="265"/>
      <c r="N265" s="282"/>
      <c r="O265" s="277"/>
      <c r="P265"/>
      <c r="Q265"/>
      <c r="R265"/>
      <c r="S265"/>
      <c r="T265"/>
      <c r="U265"/>
    </row>
    <row r="266" spans="1:21" s="262" customFormat="1">
      <c r="A266" s="273"/>
      <c r="D266" s="262" t="s">
        <v>306</v>
      </c>
      <c r="E266" s="264"/>
      <c r="F266" s="265">
        <v>1</v>
      </c>
      <c r="G266" s="265">
        <f>46+46+34+(4*17*6)</f>
        <v>534</v>
      </c>
      <c r="I266" s="266">
        <f>G266*F266</f>
        <v>534</v>
      </c>
      <c r="J266" s="267" t="s">
        <v>4</v>
      </c>
      <c r="L266" s="265">
        <f>L228</f>
        <v>2.5</v>
      </c>
      <c r="N266" s="282">
        <f>I266*L266</f>
        <v>1335</v>
      </c>
      <c r="O266" s="277"/>
      <c r="P266"/>
      <c r="Q266"/>
      <c r="R266"/>
      <c r="S266"/>
      <c r="T266"/>
      <c r="U266"/>
    </row>
    <row r="267" spans="1:21" s="262" customFormat="1">
      <c r="A267" s="273"/>
      <c r="D267" s="262" t="s">
        <v>307</v>
      </c>
      <c r="E267" s="264"/>
      <c r="F267" s="265"/>
      <c r="G267" s="265"/>
      <c r="I267" s="266">
        <v>0</v>
      </c>
      <c r="J267" s="267" t="s">
        <v>19</v>
      </c>
      <c r="L267" s="265">
        <f>L229</f>
        <v>750</v>
      </c>
      <c r="N267" s="282">
        <f>I267*L267</f>
        <v>0</v>
      </c>
      <c r="O267" s="277"/>
      <c r="P267"/>
      <c r="Q267"/>
      <c r="R267"/>
      <c r="S267"/>
      <c r="T267"/>
      <c r="U267" s="745">
        <f>SUM(N266:N267)</f>
        <v>1335</v>
      </c>
    </row>
    <row r="268" spans="1:21" s="262" customFormat="1">
      <c r="A268" s="273"/>
      <c r="E268" s="264"/>
      <c r="F268" s="265"/>
      <c r="G268" s="265"/>
      <c r="I268" s="266"/>
      <c r="J268" s="267"/>
      <c r="L268" s="265"/>
      <c r="O268" s="277"/>
      <c r="P268"/>
      <c r="Q268"/>
    </row>
    <row r="269" spans="1:21" s="262" customFormat="1" ht="16" thickBot="1">
      <c r="A269" s="273"/>
      <c r="E269" s="264"/>
      <c r="F269" s="265"/>
      <c r="G269" s="265"/>
      <c r="I269" s="266"/>
      <c r="J269" s="267"/>
      <c r="K269" s="283"/>
      <c r="L269" s="284" t="s">
        <v>308</v>
      </c>
      <c r="M269" s="283" t="s">
        <v>309</v>
      </c>
      <c r="N269" s="285">
        <f>SUM(N237:N267)</f>
        <v>125335.98586323528</v>
      </c>
      <c r="O269" s="277"/>
      <c r="P269"/>
      <c r="Q269"/>
    </row>
    <row r="270" spans="1:21" s="262" customFormat="1" ht="17" thickTop="1" thickBot="1">
      <c r="A270" s="286"/>
      <c r="B270" s="287"/>
      <c r="C270" s="287"/>
      <c r="D270" s="287"/>
      <c r="E270" s="288"/>
      <c r="F270" s="289"/>
      <c r="G270" s="289"/>
      <c r="H270" s="287"/>
      <c r="I270" s="290"/>
      <c r="J270" s="291"/>
      <c r="K270" s="287"/>
      <c r="L270" s="289"/>
      <c r="M270" s="287"/>
      <c r="N270" s="287"/>
      <c r="O270" s="292"/>
      <c r="P270"/>
      <c r="Q270"/>
    </row>
    <row r="271" spans="1:21" s="262" customFormat="1">
      <c r="E271" s="264"/>
      <c r="F271" s="265"/>
      <c r="G271" s="265"/>
      <c r="I271" s="266"/>
      <c r="J271" s="267"/>
      <c r="L271" s="265"/>
      <c r="P271"/>
      <c r="Q271"/>
    </row>
  </sheetData>
  <mergeCells count="7">
    <mergeCell ref="J234:M234"/>
    <mergeCell ref="J4:M4"/>
    <mergeCell ref="J42:M42"/>
    <mergeCell ref="J81:M81"/>
    <mergeCell ref="J120:M120"/>
    <mergeCell ref="J158:M158"/>
    <mergeCell ref="J196:M196"/>
  </mergeCells>
  <pageMargins left="0.25" right="0.25" top="0.17000000000000004" bottom="0.55000000000000004" header="0.17000000000000004" footer="0.24000000000000002"/>
  <pageSetup orientation="landscape"/>
  <headerFooter>
    <oddFooter>&amp;LDate Printed : &amp;D_x000D_Time Printed : &amp;T&amp;RFilename : &amp;F_x000D_Sheetname : 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7448E-4CA9-CA40-8D4E-6500DFEC871A}">
  <sheetPr>
    <tabColor theme="9" tint="0.39997558519241921"/>
  </sheetPr>
  <dimension ref="A1:S150"/>
  <sheetViews>
    <sheetView topLeftCell="A87" workbookViewId="0">
      <selection activeCell="G114" sqref="G114"/>
    </sheetView>
  </sheetViews>
  <sheetFormatPr baseColWidth="10" defaultColWidth="9.1640625" defaultRowHeight="13"/>
  <cols>
    <col min="1" max="1" width="3.5" style="262" customWidth="1"/>
    <col min="2" max="2" width="5.1640625" style="262" customWidth="1"/>
    <col min="3" max="3" width="4.5" style="262" customWidth="1"/>
    <col min="4" max="4" width="20.5" style="262" customWidth="1"/>
    <col min="5" max="5" width="9.1640625" style="264"/>
    <col min="6" max="7" width="9.1640625" style="265"/>
    <col min="8" max="8" width="2.5" style="262" customWidth="1"/>
    <col min="9" max="9" width="9.83203125" style="266" bestFit="1" customWidth="1"/>
    <col min="10" max="10" width="4.6640625" style="267" customWidth="1"/>
    <col min="11" max="11" width="1.6640625" style="262" customWidth="1"/>
    <col min="12" max="12" width="9.1640625" style="265"/>
    <col min="13" max="13" width="2" style="262" customWidth="1"/>
    <col min="14" max="14" width="11.1640625" style="262" customWidth="1"/>
    <col min="15" max="15" width="3.5" style="262" customWidth="1"/>
    <col min="16" max="16" width="2.5" style="262" customWidth="1"/>
    <col min="17" max="17" width="9.1640625" style="262"/>
    <col min="18" max="18" width="12.5" style="262" bestFit="1" customWidth="1"/>
    <col min="19" max="19" width="12.83203125" style="262" customWidth="1"/>
    <col min="20" max="16384" width="9.1640625" style="262"/>
  </cols>
  <sheetData>
    <row r="1" spans="1:19" ht="23">
      <c r="C1" s="263" t="s">
        <v>779</v>
      </c>
      <c r="L1" s="268" t="s">
        <v>253</v>
      </c>
    </row>
    <row r="2" spans="1:19" ht="14" thickBot="1">
      <c r="C2" s="262" t="s">
        <v>277</v>
      </c>
    </row>
    <row r="3" spans="1:19" ht="12" customHeight="1">
      <c r="A3" s="269"/>
      <c r="B3" s="270"/>
      <c r="C3" s="270"/>
      <c r="D3" s="270"/>
      <c r="E3" s="270"/>
      <c r="F3" s="270"/>
      <c r="G3" s="270"/>
      <c r="H3" s="271"/>
      <c r="I3" s="270"/>
      <c r="J3" s="270"/>
      <c r="K3" s="270"/>
      <c r="L3" s="270"/>
      <c r="M3" s="270"/>
      <c r="N3" s="270"/>
      <c r="O3" s="272"/>
    </row>
    <row r="4" spans="1:19">
      <c r="A4" s="273"/>
      <c r="B4" s="274" t="s">
        <v>488</v>
      </c>
      <c r="C4" s="275"/>
      <c r="D4" s="275"/>
      <c r="E4" s="276"/>
      <c r="F4" s="262"/>
      <c r="G4" s="262"/>
      <c r="J4" s="1175" t="s">
        <v>279</v>
      </c>
      <c r="K4" s="1176"/>
      <c r="L4" s="1176"/>
      <c r="M4" s="1177"/>
      <c r="N4" s="738">
        <f>N28/G5</f>
        <v>154.34192751894201</v>
      </c>
      <c r="O4" s="277"/>
      <c r="R4" s="739" t="s">
        <v>774</v>
      </c>
      <c r="S4" s="739" t="s">
        <v>775</v>
      </c>
    </row>
    <row r="5" spans="1:19" ht="15">
      <c r="A5" s="273"/>
      <c r="C5" s="278" t="s">
        <v>323</v>
      </c>
      <c r="F5" s="740">
        <v>2</v>
      </c>
      <c r="G5" s="740">
        <f>'Dwelling Mix'!AA104</f>
        <v>5785</v>
      </c>
      <c r="I5" s="262"/>
      <c r="J5" s="262"/>
      <c r="L5" s="262"/>
      <c r="O5" s="277"/>
      <c r="R5"/>
      <c r="S5"/>
    </row>
    <row r="6" spans="1:19" ht="15">
      <c r="A6" s="273"/>
      <c r="C6" s="262" t="s">
        <v>281</v>
      </c>
      <c r="E6" s="279" t="s">
        <v>37</v>
      </c>
      <c r="F6" s="280" t="s">
        <v>207</v>
      </c>
      <c r="G6" s="280" t="s">
        <v>38</v>
      </c>
      <c r="I6" s="281" t="s">
        <v>282</v>
      </c>
      <c r="J6" s="267" t="s">
        <v>5</v>
      </c>
      <c r="K6" s="267"/>
      <c r="L6" s="280" t="s">
        <v>2</v>
      </c>
      <c r="N6" s="267" t="s">
        <v>283</v>
      </c>
      <c r="O6" s="277"/>
      <c r="R6"/>
      <c r="S6"/>
    </row>
    <row r="7" spans="1:19" ht="29">
      <c r="A7" s="273"/>
      <c r="D7" s="741" t="s">
        <v>777</v>
      </c>
      <c r="E7" s="742">
        <v>0.15</v>
      </c>
      <c r="F7" s="265">
        <f>$F$5</f>
        <v>2</v>
      </c>
      <c r="G7" s="265">
        <f>$G$5</f>
        <v>5785</v>
      </c>
      <c r="I7" s="266">
        <f>E7*F7*G7</f>
        <v>1735.5</v>
      </c>
      <c r="J7" s="267" t="s">
        <v>18</v>
      </c>
      <c r="L7" s="743">
        <v>5.2121058823529411</v>
      </c>
      <c r="N7" s="282">
        <f>I7*L7</f>
        <v>9045.6097588235298</v>
      </c>
      <c r="O7" s="277"/>
      <c r="R7"/>
      <c r="S7"/>
    </row>
    <row r="8" spans="1:19" ht="15">
      <c r="A8" s="273"/>
      <c r="N8" s="282"/>
      <c r="O8" s="277"/>
      <c r="R8"/>
      <c r="S8"/>
    </row>
    <row r="9" spans="1:19" ht="15">
      <c r="A9" s="273"/>
      <c r="C9" s="262" t="s">
        <v>324</v>
      </c>
      <c r="N9" s="282"/>
      <c r="O9" s="277"/>
      <c r="R9"/>
      <c r="S9"/>
    </row>
    <row r="10" spans="1:19" ht="29">
      <c r="A10" s="273"/>
      <c r="D10" s="741" t="s">
        <v>780</v>
      </c>
      <c r="E10" s="264">
        <f>E13+E14+E16-0.45</f>
        <v>0.10000000000000003</v>
      </c>
      <c r="F10" s="265">
        <f>$F$5</f>
        <v>2</v>
      </c>
      <c r="G10" s="265">
        <f>$G$5</f>
        <v>5785</v>
      </c>
      <c r="I10" s="266">
        <f>E10*F10*G10</f>
        <v>1157.0000000000005</v>
      </c>
      <c r="J10" s="267" t="s">
        <v>18</v>
      </c>
      <c r="L10" s="743">
        <f>'Road Construction'!L11</f>
        <v>8.2383999999999986</v>
      </c>
      <c r="N10" s="282">
        <f t="shared" ref="N10:N26" si="0">I10*L10</f>
        <v>9531.828800000003</v>
      </c>
      <c r="O10" s="277"/>
      <c r="R10"/>
      <c r="S10"/>
    </row>
    <row r="11" spans="1:19" ht="15">
      <c r="A11" s="273"/>
      <c r="D11" s="262" t="s">
        <v>285</v>
      </c>
      <c r="E11" s="264">
        <f>E10</f>
        <v>0.10000000000000003</v>
      </c>
      <c r="F11" s="265">
        <f>$F$5</f>
        <v>2</v>
      </c>
      <c r="G11" s="265">
        <f>$G$5</f>
        <v>5785</v>
      </c>
      <c r="I11" s="266">
        <f>E11*F11*G11</f>
        <v>1157.0000000000005</v>
      </c>
      <c r="J11" s="267" t="s">
        <v>18</v>
      </c>
      <c r="L11" s="743">
        <f>'Road Construction'!L12</f>
        <v>37.441176470588232</v>
      </c>
      <c r="N11" s="282">
        <f t="shared" si="0"/>
        <v>43319.441176470602</v>
      </c>
      <c r="O11" s="277"/>
      <c r="R11"/>
      <c r="S11"/>
    </row>
    <row r="12" spans="1:19" ht="15">
      <c r="A12" s="273"/>
      <c r="N12" s="282"/>
      <c r="O12" s="277"/>
      <c r="R12"/>
      <c r="S12"/>
    </row>
    <row r="13" spans="1:19" ht="15">
      <c r="A13" s="273"/>
      <c r="D13" s="262" t="s">
        <v>288</v>
      </c>
      <c r="E13" s="742">
        <v>0.3</v>
      </c>
      <c r="F13" s="265">
        <f>$F$5</f>
        <v>2</v>
      </c>
      <c r="G13" s="265">
        <f>$G$5</f>
        <v>5785</v>
      </c>
      <c r="I13" s="266">
        <f>F13*G13</f>
        <v>11570</v>
      </c>
      <c r="J13" s="267" t="s">
        <v>39</v>
      </c>
      <c r="L13" s="743">
        <v>11.950983529411765</v>
      </c>
      <c r="N13" s="282">
        <f t="shared" si="0"/>
        <v>138272.87943529413</v>
      </c>
      <c r="O13" s="277"/>
      <c r="R13"/>
      <c r="S13"/>
    </row>
    <row r="14" spans="1:19" ht="15">
      <c r="A14" s="273"/>
      <c r="D14" s="262" t="s">
        <v>289</v>
      </c>
      <c r="E14" s="742">
        <v>0.2</v>
      </c>
      <c r="F14" s="265">
        <f>$F$5</f>
        <v>2</v>
      </c>
      <c r="G14" s="265">
        <f>$G$5</f>
        <v>5785</v>
      </c>
      <c r="I14" s="266">
        <f>F14*G14</f>
        <v>11570</v>
      </c>
      <c r="J14" s="267" t="s">
        <v>39</v>
      </c>
      <c r="L14" s="743">
        <v>11.518983529411765</v>
      </c>
      <c r="N14" s="282">
        <f t="shared" si="0"/>
        <v>133274.63943529411</v>
      </c>
      <c r="O14" s="277"/>
      <c r="R14"/>
      <c r="S14"/>
    </row>
    <row r="15" spans="1:19" ht="15">
      <c r="A15" s="273"/>
      <c r="N15" s="282"/>
      <c r="O15" s="277"/>
      <c r="R15"/>
      <c r="S15"/>
    </row>
    <row r="16" spans="1:19" ht="15">
      <c r="A16" s="273"/>
      <c r="D16" s="262" t="s">
        <v>291</v>
      </c>
      <c r="E16" s="742">
        <v>0.05</v>
      </c>
      <c r="F16" s="265">
        <f>$F$5</f>
        <v>2</v>
      </c>
      <c r="G16" s="265">
        <f>$G$5</f>
        <v>5785</v>
      </c>
      <c r="I16" s="266">
        <f>F16*G16</f>
        <v>11570</v>
      </c>
      <c r="J16" s="267" t="s">
        <v>39</v>
      </c>
      <c r="L16" s="744">
        <v>22</v>
      </c>
      <c r="N16" s="282">
        <f t="shared" si="0"/>
        <v>254540</v>
      </c>
      <c r="O16" s="277"/>
      <c r="R16"/>
      <c r="S16"/>
    </row>
    <row r="17" spans="1:19" ht="15">
      <c r="A17" s="273"/>
      <c r="D17" s="262" t="s">
        <v>292</v>
      </c>
      <c r="F17" s="265">
        <f>$F$5</f>
        <v>2</v>
      </c>
      <c r="G17" s="265">
        <f>$G$5</f>
        <v>5785</v>
      </c>
      <c r="I17" s="266">
        <f>F17*G17</f>
        <v>11570</v>
      </c>
      <c r="J17" s="267" t="s">
        <v>39</v>
      </c>
      <c r="L17" s="744">
        <v>0.5</v>
      </c>
      <c r="N17" s="282">
        <f t="shared" si="0"/>
        <v>5785</v>
      </c>
      <c r="O17" s="277"/>
      <c r="R17"/>
      <c r="S17"/>
    </row>
    <row r="18" spans="1:19" ht="15">
      <c r="A18" s="273"/>
      <c r="N18" s="282"/>
      <c r="O18" s="277"/>
      <c r="R18"/>
      <c r="S18"/>
    </row>
    <row r="19" spans="1:19" ht="15">
      <c r="A19" s="273"/>
      <c r="C19" s="262" t="s">
        <v>325</v>
      </c>
      <c r="N19" s="282"/>
      <c r="O19" s="277"/>
      <c r="R19"/>
      <c r="S19"/>
    </row>
    <row r="20" spans="1:19" ht="15">
      <c r="A20" s="273"/>
      <c r="D20" s="262" t="s">
        <v>326</v>
      </c>
      <c r="G20" s="265">
        <f>$G$5*0.75</f>
        <v>4338.75</v>
      </c>
      <c r="I20" s="266">
        <f>G20</f>
        <v>4338.75</v>
      </c>
      <c r="J20" s="267" t="s">
        <v>4</v>
      </c>
      <c r="L20" s="743">
        <v>25.452446342471411</v>
      </c>
      <c r="N20" s="282">
        <f t="shared" si="0"/>
        <v>110431.80156839783</v>
      </c>
      <c r="O20" s="277"/>
      <c r="R20"/>
      <c r="S20"/>
    </row>
    <row r="21" spans="1:19" ht="15">
      <c r="A21" s="273"/>
      <c r="D21" s="262" t="s">
        <v>327</v>
      </c>
      <c r="G21" s="265">
        <f>$G$5*0.25</f>
        <v>1446.25</v>
      </c>
      <c r="I21" s="266">
        <f>G21</f>
        <v>1446.25</v>
      </c>
      <c r="J21" s="267" t="s">
        <v>4</v>
      </c>
      <c r="L21" s="743">
        <f>L20+1</f>
        <v>26.452446342471411</v>
      </c>
      <c r="N21" s="282">
        <f t="shared" si="0"/>
        <v>38256.850522799279</v>
      </c>
      <c r="O21" s="277"/>
      <c r="R21" s="745">
        <f>SUM(N7:N21)</f>
        <v>742458.05069707951</v>
      </c>
      <c r="S21"/>
    </row>
    <row r="22" spans="1:19" ht="15">
      <c r="A22" s="273"/>
      <c r="N22" s="282"/>
      <c r="O22" s="277"/>
      <c r="R22"/>
      <c r="S22"/>
    </row>
    <row r="23" spans="1:19" ht="15">
      <c r="A23" s="273"/>
      <c r="C23" s="278" t="s">
        <v>299</v>
      </c>
      <c r="N23" s="282"/>
      <c r="O23" s="277"/>
      <c r="R23"/>
      <c r="S23"/>
    </row>
    <row r="24" spans="1:19" ht="15">
      <c r="A24" s="273"/>
      <c r="N24" s="282"/>
      <c r="O24" s="277"/>
      <c r="R24"/>
      <c r="S24"/>
    </row>
    <row r="25" spans="1:19" ht="15">
      <c r="A25" s="273"/>
      <c r="D25" s="262" t="s">
        <v>304</v>
      </c>
      <c r="F25" s="265">
        <f>$F$5</f>
        <v>2</v>
      </c>
      <c r="G25" s="265">
        <f>$G$5</f>
        <v>5785</v>
      </c>
      <c r="I25" s="266">
        <f>F25*G25</f>
        <v>11570</v>
      </c>
      <c r="J25" s="267" t="s">
        <v>39</v>
      </c>
      <c r="L25" s="744">
        <v>0.5</v>
      </c>
      <c r="N25" s="282">
        <f t="shared" si="0"/>
        <v>5785</v>
      </c>
      <c r="O25" s="277"/>
      <c r="R25"/>
      <c r="S25"/>
    </row>
    <row r="26" spans="1:19" ht="15">
      <c r="A26" s="273"/>
      <c r="D26" s="262" t="s">
        <v>305</v>
      </c>
      <c r="E26" s="742">
        <v>0.02</v>
      </c>
      <c r="F26" s="265">
        <f>$F$5</f>
        <v>2</v>
      </c>
      <c r="G26" s="265">
        <f>$G$5</f>
        <v>5785</v>
      </c>
      <c r="I26" s="266">
        <f>F26*G26</f>
        <v>11570</v>
      </c>
      <c r="J26" s="267" t="s">
        <v>39</v>
      </c>
      <c r="L26" s="744">
        <v>12.5</v>
      </c>
      <c r="N26" s="282">
        <f t="shared" si="0"/>
        <v>144625</v>
      </c>
      <c r="O26" s="277"/>
      <c r="S26" s="745">
        <f>SUM(N25:N26)</f>
        <v>150410</v>
      </c>
    </row>
    <row r="27" spans="1:19" ht="15">
      <c r="A27" s="273"/>
      <c r="O27" s="277"/>
      <c r="R27"/>
      <c r="S27"/>
    </row>
    <row r="28" spans="1:19" ht="16" thickBot="1">
      <c r="A28" s="273"/>
      <c r="K28" s="283"/>
      <c r="L28" s="284" t="s">
        <v>308</v>
      </c>
      <c r="M28" s="283" t="s">
        <v>309</v>
      </c>
      <c r="N28" s="285">
        <f>SUM(N7:N26)</f>
        <v>892868.05069707951</v>
      </c>
      <c r="O28" s="277"/>
      <c r="R28"/>
      <c r="S28"/>
    </row>
    <row r="29" spans="1:19" ht="17" thickTop="1" thickBot="1">
      <c r="A29" s="286"/>
      <c r="B29" s="287"/>
      <c r="C29" s="287"/>
      <c r="D29" s="287"/>
      <c r="E29" s="288"/>
      <c r="F29" s="289"/>
      <c r="G29" s="289"/>
      <c r="H29" s="287"/>
      <c r="I29" s="290"/>
      <c r="J29" s="291"/>
      <c r="K29" s="287"/>
      <c r="L29" s="289"/>
      <c r="M29" s="287"/>
      <c r="N29" s="287"/>
      <c r="O29" s="292"/>
      <c r="R29"/>
      <c r="S29"/>
    </row>
    <row r="30" spans="1:19" ht="15">
      <c r="A30" s="273"/>
      <c r="E30" s="746"/>
      <c r="F30" s="747"/>
      <c r="G30" s="747"/>
      <c r="L30" s="747"/>
      <c r="O30" s="277"/>
      <c r="R30"/>
      <c r="S30"/>
    </row>
    <row r="31" spans="1:19">
      <c r="A31" s="273"/>
      <c r="B31" s="274" t="s">
        <v>781</v>
      </c>
      <c r="C31" s="275"/>
      <c r="D31" s="275"/>
      <c r="E31" s="276"/>
      <c r="F31" s="262"/>
      <c r="G31" s="262"/>
      <c r="J31" s="1175" t="s">
        <v>279</v>
      </c>
      <c r="K31" s="1176"/>
      <c r="L31" s="1176"/>
      <c r="M31" s="1177"/>
      <c r="N31" s="738">
        <f>N55/G32</f>
        <v>5622.0344444445354</v>
      </c>
      <c r="O31" s="277"/>
      <c r="R31" s="739" t="s">
        <v>774</v>
      </c>
      <c r="S31" s="739" t="s">
        <v>775</v>
      </c>
    </row>
    <row r="32" spans="1:19" ht="15">
      <c r="A32" s="273"/>
      <c r="C32" s="278" t="s">
        <v>323</v>
      </c>
      <c r="F32" s="740">
        <v>3</v>
      </c>
      <c r="G32" s="740">
        <v>225</v>
      </c>
      <c r="I32" s="262"/>
      <c r="J32" s="262"/>
      <c r="L32" s="262"/>
      <c r="O32" s="277"/>
      <c r="R32"/>
      <c r="S32"/>
    </row>
    <row r="33" spans="1:19" ht="15">
      <c r="A33" s="273"/>
      <c r="C33" s="262" t="s">
        <v>281</v>
      </c>
      <c r="E33" s="279" t="s">
        <v>37</v>
      </c>
      <c r="F33" s="280" t="s">
        <v>207</v>
      </c>
      <c r="G33" s="280" t="s">
        <v>38</v>
      </c>
      <c r="I33" s="281" t="s">
        <v>282</v>
      </c>
      <c r="J33" s="267" t="s">
        <v>5</v>
      </c>
      <c r="K33" s="267"/>
      <c r="L33" s="280" t="s">
        <v>2</v>
      </c>
      <c r="N33" s="267" t="s">
        <v>283</v>
      </c>
      <c r="O33" s="277"/>
      <c r="R33"/>
      <c r="S33"/>
    </row>
    <row r="34" spans="1:19" ht="29">
      <c r="A34" s="273"/>
      <c r="D34" s="741" t="s">
        <v>777</v>
      </c>
      <c r="E34" s="742">
        <v>0.15</v>
      </c>
      <c r="F34" s="265">
        <f>$F$32</f>
        <v>3</v>
      </c>
      <c r="G34" s="265">
        <f>$G$5</f>
        <v>5785</v>
      </c>
      <c r="I34" s="266">
        <f>E34*F34*G34</f>
        <v>2603.2499999999995</v>
      </c>
      <c r="J34" s="267" t="s">
        <v>18</v>
      </c>
      <c r="L34" s="743">
        <f>L7</f>
        <v>5.2121058823529411</v>
      </c>
      <c r="N34" s="282">
        <f>I34*L34</f>
        <v>13568.414638235292</v>
      </c>
      <c r="O34" s="277"/>
      <c r="R34"/>
      <c r="S34"/>
    </row>
    <row r="35" spans="1:19" ht="15">
      <c r="A35" s="273"/>
      <c r="N35" s="282"/>
      <c r="O35" s="277"/>
      <c r="R35"/>
      <c r="S35"/>
    </row>
    <row r="36" spans="1:19" ht="15">
      <c r="A36" s="273"/>
      <c r="C36" s="262" t="s">
        <v>324</v>
      </c>
      <c r="N36" s="282"/>
      <c r="O36" s="277"/>
      <c r="R36"/>
      <c r="S36"/>
    </row>
    <row r="37" spans="1:19" ht="29">
      <c r="A37" s="273"/>
      <c r="D37" s="741" t="s">
        <v>780</v>
      </c>
      <c r="E37" s="264">
        <f>E40+E41+E43-0.45</f>
        <v>0.10000000000000003</v>
      </c>
      <c r="F37" s="265">
        <f>$F$32</f>
        <v>3</v>
      </c>
      <c r="G37" s="265">
        <f>$G$5</f>
        <v>5785</v>
      </c>
      <c r="I37" s="266">
        <f>E37*F37*G37</f>
        <v>1735.5000000000007</v>
      </c>
      <c r="J37" s="267" t="s">
        <v>18</v>
      </c>
      <c r="L37" s="743">
        <f>L10</f>
        <v>8.2383999999999986</v>
      </c>
      <c r="N37" s="282">
        <f>I37*L37</f>
        <v>14297.743200000003</v>
      </c>
      <c r="O37" s="277"/>
      <c r="R37"/>
      <c r="S37"/>
    </row>
    <row r="38" spans="1:19" ht="15">
      <c r="A38" s="273"/>
      <c r="D38" s="262" t="s">
        <v>285</v>
      </c>
      <c r="E38" s="264">
        <f>E37</f>
        <v>0.10000000000000003</v>
      </c>
      <c r="F38" s="265">
        <f>$F$32</f>
        <v>3</v>
      </c>
      <c r="G38" s="265">
        <f>$G$5</f>
        <v>5785</v>
      </c>
      <c r="I38" s="266">
        <f>E38*F38*G38</f>
        <v>1735.5000000000007</v>
      </c>
      <c r="J38" s="267" t="s">
        <v>18</v>
      </c>
      <c r="L38" s="743">
        <f t="shared" ref="L38:L53" si="1">L11</f>
        <v>37.441176470588232</v>
      </c>
      <c r="N38" s="282">
        <f>I38*L38</f>
        <v>64979.161764705903</v>
      </c>
      <c r="O38" s="277"/>
      <c r="R38"/>
      <c r="S38"/>
    </row>
    <row r="39" spans="1:19" ht="15">
      <c r="A39" s="273"/>
      <c r="L39" s="743">
        <f t="shared" si="1"/>
        <v>0</v>
      </c>
      <c r="N39" s="282"/>
      <c r="O39" s="277"/>
      <c r="R39"/>
      <c r="S39"/>
    </row>
    <row r="40" spans="1:19" ht="15">
      <c r="A40" s="273"/>
      <c r="D40" s="262" t="s">
        <v>288</v>
      </c>
      <c r="E40" s="742">
        <v>0.3</v>
      </c>
      <c r="F40" s="265">
        <f>$F$32</f>
        <v>3</v>
      </c>
      <c r="G40" s="265">
        <f>$G$5</f>
        <v>5785</v>
      </c>
      <c r="I40" s="266">
        <f>F40*G40</f>
        <v>17355</v>
      </c>
      <c r="J40" s="267" t="s">
        <v>39</v>
      </c>
      <c r="L40" s="743">
        <f t="shared" si="1"/>
        <v>11.950983529411765</v>
      </c>
      <c r="N40" s="282">
        <f>I40*L40</f>
        <v>207409.31915294117</v>
      </c>
      <c r="O40" s="277"/>
      <c r="R40"/>
      <c r="S40"/>
    </row>
    <row r="41" spans="1:19" ht="15">
      <c r="A41" s="273"/>
      <c r="D41" s="262" t="s">
        <v>289</v>
      </c>
      <c r="E41" s="742">
        <v>0.2</v>
      </c>
      <c r="F41" s="265">
        <f>$F$32</f>
        <v>3</v>
      </c>
      <c r="G41" s="265">
        <f>$G$5</f>
        <v>5785</v>
      </c>
      <c r="I41" s="266">
        <f>F41*G41</f>
        <v>17355</v>
      </c>
      <c r="J41" s="267" t="s">
        <v>39</v>
      </c>
      <c r="L41" s="743">
        <f t="shared" si="1"/>
        <v>11.518983529411765</v>
      </c>
      <c r="N41" s="282">
        <f>I41*L41</f>
        <v>199911.95915294118</v>
      </c>
      <c r="O41" s="277"/>
      <c r="R41"/>
      <c r="S41"/>
    </row>
    <row r="42" spans="1:19" ht="15">
      <c r="A42" s="273"/>
      <c r="L42" s="743">
        <f t="shared" si="1"/>
        <v>0</v>
      </c>
      <c r="N42" s="282"/>
      <c r="O42" s="277"/>
      <c r="R42"/>
      <c r="S42"/>
    </row>
    <row r="43" spans="1:19" ht="15">
      <c r="A43" s="273"/>
      <c r="D43" s="262" t="s">
        <v>291</v>
      </c>
      <c r="E43" s="742">
        <v>0.05</v>
      </c>
      <c r="F43" s="265">
        <f>$F$32</f>
        <v>3</v>
      </c>
      <c r="G43" s="265">
        <f>$G$5</f>
        <v>5785</v>
      </c>
      <c r="I43" s="266">
        <f>F43*G43</f>
        <v>17355</v>
      </c>
      <c r="J43" s="267" t="s">
        <v>39</v>
      </c>
      <c r="L43" s="743">
        <f t="shared" si="1"/>
        <v>22</v>
      </c>
      <c r="N43" s="282">
        <f>I43*L43</f>
        <v>381810</v>
      </c>
      <c r="O43" s="277"/>
      <c r="R43"/>
      <c r="S43"/>
    </row>
    <row r="44" spans="1:19" ht="15">
      <c r="A44" s="273"/>
      <c r="D44" s="262" t="s">
        <v>292</v>
      </c>
      <c r="F44" s="265">
        <f>$F$32</f>
        <v>3</v>
      </c>
      <c r="G44" s="265">
        <f>$G$5</f>
        <v>5785</v>
      </c>
      <c r="I44" s="266">
        <f>F44*G44</f>
        <v>17355</v>
      </c>
      <c r="J44" s="267" t="s">
        <v>39</v>
      </c>
      <c r="L44" s="743">
        <f t="shared" si="1"/>
        <v>0.5</v>
      </c>
      <c r="N44" s="282">
        <f>I44*L44</f>
        <v>8677.5</v>
      </c>
      <c r="O44" s="277"/>
      <c r="R44"/>
      <c r="S44"/>
    </row>
    <row r="45" spans="1:19" ht="15">
      <c r="A45" s="273"/>
      <c r="L45" s="743">
        <f t="shared" si="1"/>
        <v>0</v>
      </c>
      <c r="N45" s="282"/>
      <c r="O45" s="277"/>
      <c r="R45"/>
      <c r="S45"/>
    </row>
    <row r="46" spans="1:19" ht="15">
      <c r="A46" s="273"/>
      <c r="C46" s="262" t="s">
        <v>325</v>
      </c>
      <c r="L46" s="743">
        <f t="shared" si="1"/>
        <v>0</v>
      </c>
      <c r="N46" s="282"/>
      <c r="O46" s="277"/>
      <c r="R46"/>
      <c r="S46"/>
    </row>
    <row r="47" spans="1:19" ht="15">
      <c r="A47" s="273"/>
      <c r="D47" s="262" t="s">
        <v>326</v>
      </c>
      <c r="G47" s="265">
        <f>$G$5*0.75</f>
        <v>4338.75</v>
      </c>
      <c r="I47" s="266">
        <f>G47</f>
        <v>4338.75</v>
      </c>
      <c r="J47" s="267" t="s">
        <v>4</v>
      </c>
      <c r="L47" s="743">
        <f t="shared" si="1"/>
        <v>25.452446342471411</v>
      </c>
      <c r="N47" s="282">
        <f>I47*L47</f>
        <v>110431.80156839783</v>
      </c>
      <c r="O47" s="277"/>
      <c r="R47"/>
      <c r="S47"/>
    </row>
    <row r="48" spans="1:19" ht="15">
      <c r="A48" s="273"/>
      <c r="D48" s="262" t="s">
        <v>327</v>
      </c>
      <c r="G48" s="265">
        <f>$G$5*0.25</f>
        <v>1446.25</v>
      </c>
      <c r="I48" s="266">
        <f>G48</f>
        <v>1446.25</v>
      </c>
      <c r="J48" s="267" t="s">
        <v>4</v>
      </c>
      <c r="L48" s="743">
        <f t="shared" si="1"/>
        <v>26.452446342471411</v>
      </c>
      <c r="N48" s="282">
        <f>I48*L48</f>
        <v>38256.850522799279</v>
      </c>
      <c r="O48" s="277"/>
      <c r="R48" s="745">
        <f>SUM(N34:N48)</f>
        <v>1039342.7500000206</v>
      </c>
      <c r="S48"/>
    </row>
    <row r="49" spans="1:19" ht="15">
      <c r="A49" s="273"/>
      <c r="L49" s="743">
        <f t="shared" si="1"/>
        <v>0</v>
      </c>
      <c r="N49" s="282"/>
      <c r="O49" s="277"/>
      <c r="R49"/>
      <c r="S49"/>
    </row>
    <row r="50" spans="1:19" ht="15">
      <c r="A50" s="273"/>
      <c r="C50" s="278" t="s">
        <v>299</v>
      </c>
      <c r="L50" s="743">
        <f t="shared" si="1"/>
        <v>0</v>
      </c>
      <c r="N50" s="282"/>
      <c r="O50" s="277"/>
      <c r="R50"/>
      <c r="S50"/>
    </row>
    <row r="51" spans="1:19" ht="15">
      <c r="A51" s="273"/>
      <c r="L51" s="743">
        <f t="shared" si="1"/>
        <v>0</v>
      </c>
      <c r="N51" s="282"/>
      <c r="O51" s="277"/>
      <c r="R51"/>
      <c r="S51"/>
    </row>
    <row r="52" spans="1:19" ht="15">
      <c r="A52" s="273"/>
      <c r="D52" s="262" t="s">
        <v>304</v>
      </c>
      <c r="F52" s="265">
        <f>$F$32</f>
        <v>3</v>
      </c>
      <c r="G52" s="265">
        <f>$G$5</f>
        <v>5785</v>
      </c>
      <c r="I52" s="266">
        <f>F52*G52</f>
        <v>17355</v>
      </c>
      <c r="J52" s="267" t="s">
        <v>39</v>
      </c>
      <c r="L52" s="743">
        <f t="shared" si="1"/>
        <v>0.5</v>
      </c>
      <c r="N52" s="282">
        <f>I52*L52</f>
        <v>8677.5</v>
      </c>
      <c r="O52" s="277"/>
      <c r="R52"/>
      <c r="S52"/>
    </row>
    <row r="53" spans="1:19" ht="15">
      <c r="A53" s="273"/>
      <c r="D53" s="262" t="s">
        <v>305</v>
      </c>
      <c r="E53" s="742">
        <v>0.02</v>
      </c>
      <c r="F53" s="265">
        <f>$F$32</f>
        <v>3</v>
      </c>
      <c r="G53" s="265">
        <f>$G$5</f>
        <v>5785</v>
      </c>
      <c r="I53" s="266">
        <f>F53*G53</f>
        <v>17355</v>
      </c>
      <c r="J53" s="267" t="s">
        <v>39</v>
      </c>
      <c r="L53" s="743">
        <f t="shared" si="1"/>
        <v>12.5</v>
      </c>
      <c r="N53" s="282">
        <f>I53*L53</f>
        <v>216937.5</v>
      </c>
      <c r="O53" s="277"/>
      <c r="S53" s="745">
        <f>SUM(N52:N53)</f>
        <v>225615</v>
      </c>
    </row>
    <row r="54" spans="1:19" ht="15">
      <c r="A54" s="273"/>
      <c r="O54" s="277"/>
      <c r="R54"/>
      <c r="S54"/>
    </row>
    <row r="55" spans="1:19" ht="16" thickBot="1">
      <c r="A55" s="273"/>
      <c r="K55" s="283"/>
      <c r="L55" s="284" t="s">
        <v>308</v>
      </c>
      <c r="M55" s="283" t="s">
        <v>309</v>
      </c>
      <c r="N55" s="285">
        <f>SUM(N34:N53)</f>
        <v>1264957.7500000205</v>
      </c>
      <c r="O55" s="277"/>
      <c r="R55"/>
      <c r="S55"/>
    </row>
    <row r="56" spans="1:19" ht="17" thickTop="1" thickBot="1">
      <c r="A56" s="286"/>
      <c r="B56" s="287"/>
      <c r="C56" s="287"/>
      <c r="D56" s="287"/>
      <c r="E56" s="288"/>
      <c r="F56" s="289"/>
      <c r="G56" s="289"/>
      <c r="H56" s="287"/>
      <c r="I56" s="290"/>
      <c r="J56" s="291"/>
      <c r="K56" s="287"/>
      <c r="L56" s="289"/>
      <c r="M56" s="287"/>
      <c r="N56" s="287"/>
      <c r="O56" s="292"/>
      <c r="R56"/>
      <c r="S56"/>
    </row>
    <row r="57" spans="1:19" ht="15">
      <c r="A57" s="269"/>
      <c r="B57" s="270"/>
      <c r="C57" s="270"/>
      <c r="D57" s="270"/>
      <c r="E57" s="270"/>
      <c r="F57" s="270"/>
      <c r="G57" s="270"/>
      <c r="H57" s="271"/>
      <c r="I57" s="270"/>
      <c r="J57" s="270"/>
      <c r="K57" s="270"/>
      <c r="L57" s="270"/>
      <c r="M57" s="270"/>
      <c r="N57" s="270"/>
      <c r="O57" s="272"/>
      <c r="R57"/>
      <c r="S57"/>
    </row>
    <row r="58" spans="1:19">
      <c r="A58" s="273"/>
      <c r="B58" s="274" t="s">
        <v>328</v>
      </c>
      <c r="C58" s="275"/>
      <c r="D58" s="275"/>
      <c r="E58" s="276"/>
      <c r="F58" s="276"/>
      <c r="G58" s="262"/>
      <c r="J58" s="1175" t="s">
        <v>279</v>
      </c>
      <c r="K58" s="1176"/>
      <c r="L58" s="1176"/>
      <c r="M58" s="1177"/>
      <c r="N58" s="738">
        <f>N82/G59</f>
        <v>220.29718316600082</v>
      </c>
      <c r="O58" s="277"/>
      <c r="R58" s="739" t="s">
        <v>774</v>
      </c>
      <c r="S58" s="739" t="s">
        <v>775</v>
      </c>
    </row>
    <row r="59" spans="1:19" ht="15">
      <c r="A59" s="273"/>
      <c r="C59" s="278" t="s">
        <v>323</v>
      </c>
      <c r="F59" s="740">
        <v>1.8</v>
      </c>
      <c r="G59" s="740">
        <f>G61</f>
        <v>5785</v>
      </c>
      <c r="I59" s="262"/>
      <c r="J59" s="262"/>
      <c r="L59" s="262"/>
      <c r="O59" s="277"/>
      <c r="R59"/>
      <c r="S59"/>
    </row>
    <row r="60" spans="1:19" ht="15">
      <c r="A60" s="273"/>
      <c r="C60" s="262" t="s">
        <v>281</v>
      </c>
      <c r="E60" s="279" t="s">
        <v>37</v>
      </c>
      <c r="F60" s="280" t="s">
        <v>207</v>
      </c>
      <c r="G60" s="280" t="s">
        <v>38</v>
      </c>
      <c r="I60" s="281" t="s">
        <v>282</v>
      </c>
      <c r="J60" s="267" t="s">
        <v>5</v>
      </c>
      <c r="K60" s="267"/>
      <c r="L60" s="280" t="s">
        <v>2</v>
      </c>
      <c r="N60" s="267" t="s">
        <v>283</v>
      </c>
      <c r="O60" s="277"/>
      <c r="R60"/>
      <c r="S60"/>
    </row>
    <row r="61" spans="1:19" ht="29">
      <c r="A61" s="273"/>
      <c r="D61" s="741" t="s">
        <v>777</v>
      </c>
      <c r="E61" s="742">
        <v>0.15</v>
      </c>
      <c r="F61" s="265">
        <f>F59</f>
        <v>1.8</v>
      </c>
      <c r="G61" s="265">
        <f>$G$5</f>
        <v>5785</v>
      </c>
      <c r="I61" s="266">
        <f>E61*F61*G61</f>
        <v>1561.95</v>
      </c>
      <c r="J61" s="267" t="s">
        <v>18</v>
      </c>
      <c r="L61" s="265">
        <f>L7</f>
        <v>5.2121058823529411</v>
      </c>
      <c r="N61" s="282">
        <f>I61*L61</f>
        <v>8141.0487829411768</v>
      </c>
      <c r="O61" s="277"/>
      <c r="R61"/>
      <c r="S61"/>
    </row>
    <row r="62" spans="1:19" ht="15">
      <c r="A62" s="273"/>
      <c r="N62" s="282"/>
      <c r="O62" s="277"/>
      <c r="R62"/>
      <c r="S62"/>
    </row>
    <row r="63" spans="1:19" ht="15">
      <c r="A63" s="273"/>
      <c r="C63" s="262" t="s">
        <v>324</v>
      </c>
      <c r="N63" s="282"/>
      <c r="O63" s="277"/>
      <c r="R63"/>
      <c r="S63"/>
    </row>
    <row r="64" spans="1:19" ht="15">
      <c r="A64" s="273"/>
      <c r="D64" s="262" t="s">
        <v>287</v>
      </c>
      <c r="E64" s="264">
        <f>E67+E68+E70</f>
        <v>0.55000000000000004</v>
      </c>
      <c r="F64" s="265">
        <f>$F$5</f>
        <v>2</v>
      </c>
      <c r="G64" s="265">
        <f>$G$5</f>
        <v>5785</v>
      </c>
      <c r="I64" s="266">
        <f>E64*F64*G64</f>
        <v>6363.5000000000009</v>
      </c>
      <c r="J64" s="267" t="s">
        <v>18</v>
      </c>
      <c r="L64" s="265">
        <f>L10</f>
        <v>8.2383999999999986</v>
      </c>
      <c r="N64" s="282">
        <f>I64*L64</f>
        <v>52425.058400000002</v>
      </c>
      <c r="O64" s="277"/>
      <c r="R64"/>
      <c r="S64"/>
    </row>
    <row r="65" spans="1:19" ht="15">
      <c r="A65" s="273"/>
      <c r="D65" s="262" t="s">
        <v>285</v>
      </c>
      <c r="E65" s="264">
        <f>E64</f>
        <v>0.55000000000000004</v>
      </c>
      <c r="F65" s="265">
        <f>$F$5</f>
        <v>2</v>
      </c>
      <c r="G65" s="265">
        <f>$G$5</f>
        <v>5785</v>
      </c>
      <c r="I65" s="266">
        <f>E65*F65*G65</f>
        <v>6363.5000000000009</v>
      </c>
      <c r="J65" s="267" t="s">
        <v>18</v>
      </c>
      <c r="L65" s="265">
        <f>L11</f>
        <v>37.441176470588232</v>
      </c>
      <c r="N65" s="282">
        <f>I65*L65</f>
        <v>238256.92647058825</v>
      </c>
      <c r="O65" s="277"/>
      <c r="R65"/>
      <c r="S65"/>
    </row>
    <row r="66" spans="1:19" ht="15">
      <c r="A66" s="273"/>
      <c r="N66" s="282"/>
      <c r="O66" s="277"/>
      <c r="R66"/>
      <c r="S66"/>
    </row>
    <row r="67" spans="1:19" ht="15">
      <c r="A67" s="273"/>
      <c r="D67" s="262" t="s">
        <v>288</v>
      </c>
      <c r="E67" s="742">
        <v>0.3</v>
      </c>
      <c r="F67" s="265">
        <f>$F$5</f>
        <v>2</v>
      </c>
      <c r="G67" s="265">
        <f>$G$5</f>
        <v>5785</v>
      </c>
      <c r="I67" s="266">
        <f>F67*G67</f>
        <v>11570</v>
      </c>
      <c r="J67" s="267" t="s">
        <v>39</v>
      </c>
      <c r="L67" s="265">
        <f>L13</f>
        <v>11.950983529411765</v>
      </c>
      <c r="N67" s="282">
        <f>I67*L67</f>
        <v>138272.87943529413</v>
      </c>
      <c r="O67" s="277"/>
      <c r="R67"/>
      <c r="S67"/>
    </row>
    <row r="68" spans="1:19" ht="15">
      <c r="A68" s="273"/>
      <c r="D68" s="262" t="s">
        <v>289</v>
      </c>
      <c r="E68" s="742">
        <v>0.2</v>
      </c>
      <c r="F68" s="265">
        <f>$F$5</f>
        <v>2</v>
      </c>
      <c r="G68" s="265">
        <f>$G$5</f>
        <v>5785</v>
      </c>
      <c r="I68" s="266">
        <f>F68*G68</f>
        <v>11570</v>
      </c>
      <c r="J68" s="267" t="s">
        <v>39</v>
      </c>
      <c r="L68" s="265">
        <f>L14</f>
        <v>11.518983529411765</v>
      </c>
      <c r="N68" s="282">
        <f>I68*L68</f>
        <v>133274.63943529411</v>
      </c>
      <c r="O68" s="277"/>
      <c r="R68"/>
      <c r="S68"/>
    </row>
    <row r="69" spans="1:19" ht="15">
      <c r="A69" s="273"/>
      <c r="N69" s="282"/>
      <c r="O69" s="277"/>
      <c r="R69"/>
      <c r="S69"/>
    </row>
    <row r="70" spans="1:19" ht="15">
      <c r="A70" s="273"/>
      <c r="D70" s="262" t="s">
        <v>291</v>
      </c>
      <c r="E70" s="742">
        <v>0.05</v>
      </c>
      <c r="F70" s="265">
        <f>$F$5</f>
        <v>2</v>
      </c>
      <c r="G70" s="265">
        <f>$G$5</f>
        <v>5785</v>
      </c>
      <c r="I70" s="266">
        <f>F70*G70</f>
        <v>11570</v>
      </c>
      <c r="J70" s="267" t="s">
        <v>39</v>
      </c>
      <c r="L70" s="265">
        <f>L16</f>
        <v>22</v>
      </c>
      <c r="N70" s="282">
        <f>I70*L70</f>
        <v>254540</v>
      </c>
      <c r="O70" s="277"/>
      <c r="R70"/>
      <c r="S70"/>
    </row>
    <row r="71" spans="1:19" ht="15">
      <c r="A71" s="273"/>
      <c r="D71" s="262" t="s">
        <v>292</v>
      </c>
      <c r="F71" s="265">
        <f>$F$5</f>
        <v>2</v>
      </c>
      <c r="G71" s="265">
        <f>$G$5</f>
        <v>5785</v>
      </c>
      <c r="I71" s="266">
        <f>F71*G71</f>
        <v>11570</v>
      </c>
      <c r="J71" s="267" t="s">
        <v>39</v>
      </c>
      <c r="L71" s="265">
        <f>L17</f>
        <v>0.5</v>
      </c>
      <c r="N71" s="282">
        <f>I71*L71</f>
        <v>5785</v>
      </c>
      <c r="O71" s="277"/>
      <c r="R71"/>
      <c r="S71"/>
    </row>
    <row r="72" spans="1:19" ht="15">
      <c r="A72" s="273"/>
      <c r="N72" s="282"/>
      <c r="O72" s="277"/>
      <c r="R72"/>
      <c r="S72"/>
    </row>
    <row r="73" spans="1:19" ht="15">
      <c r="A73" s="273"/>
      <c r="C73" s="262" t="s">
        <v>325</v>
      </c>
      <c r="N73" s="282"/>
      <c r="O73" s="277"/>
      <c r="R73"/>
      <c r="S73"/>
    </row>
    <row r="74" spans="1:19" ht="15">
      <c r="A74" s="273"/>
      <c r="D74" s="262" t="s">
        <v>326</v>
      </c>
      <c r="G74" s="265">
        <f>$G$5*0.75</f>
        <v>4338.75</v>
      </c>
      <c r="I74" s="266">
        <f>G74</f>
        <v>4338.75</v>
      </c>
      <c r="J74" s="267" t="s">
        <v>4</v>
      </c>
      <c r="L74" s="265">
        <f>L20</f>
        <v>25.452446342471411</v>
      </c>
      <c r="N74" s="282">
        <f>I74*L74</f>
        <v>110431.80156839783</v>
      </c>
      <c r="O74" s="277"/>
      <c r="R74"/>
      <c r="S74"/>
    </row>
    <row r="75" spans="1:19" ht="15">
      <c r="A75" s="273"/>
      <c r="D75" s="262" t="s">
        <v>327</v>
      </c>
      <c r="G75" s="265">
        <f>$G$5*0.25</f>
        <v>1446.25</v>
      </c>
      <c r="I75" s="266">
        <f>G75</f>
        <v>1446.25</v>
      </c>
      <c r="J75" s="267" t="s">
        <v>4</v>
      </c>
      <c r="L75" s="265">
        <f>L21</f>
        <v>26.452446342471411</v>
      </c>
      <c r="N75" s="282">
        <f>I75*L75</f>
        <v>38256.850522799279</v>
      </c>
      <c r="O75" s="277"/>
      <c r="R75" s="745">
        <f>SUM(N61:N75)</f>
        <v>979384.20461531472</v>
      </c>
      <c r="S75"/>
    </row>
    <row r="76" spans="1:19" ht="15">
      <c r="A76" s="273"/>
      <c r="N76" s="282"/>
      <c r="O76" s="277"/>
      <c r="R76"/>
      <c r="S76"/>
    </row>
    <row r="77" spans="1:19" ht="15">
      <c r="A77" s="273"/>
      <c r="C77" s="278" t="s">
        <v>299</v>
      </c>
      <c r="N77" s="282"/>
      <c r="O77" s="277"/>
      <c r="R77"/>
      <c r="S77"/>
    </row>
    <row r="78" spans="1:19" ht="15">
      <c r="A78" s="273"/>
      <c r="N78" s="282"/>
      <c r="O78" s="277"/>
      <c r="R78"/>
      <c r="S78"/>
    </row>
    <row r="79" spans="1:19" ht="15">
      <c r="A79" s="273"/>
      <c r="D79" s="262" t="s">
        <v>304</v>
      </c>
      <c r="F79" s="265">
        <f>$F$5</f>
        <v>2</v>
      </c>
      <c r="G79" s="265">
        <f>$G$5</f>
        <v>5785</v>
      </c>
      <c r="I79" s="266">
        <f>F79*G79</f>
        <v>11570</v>
      </c>
      <c r="J79" s="267" t="s">
        <v>39</v>
      </c>
      <c r="L79" s="265">
        <f>L25</f>
        <v>0.5</v>
      </c>
      <c r="N79" s="282">
        <f>I79*L79</f>
        <v>5785</v>
      </c>
      <c r="O79" s="277"/>
      <c r="R79"/>
      <c r="S79"/>
    </row>
    <row r="80" spans="1:19" ht="15">
      <c r="A80" s="273"/>
      <c r="D80" s="262" t="s">
        <v>329</v>
      </c>
      <c r="E80" s="742">
        <v>0.02</v>
      </c>
      <c r="F80" s="265">
        <f>$F$5</f>
        <v>2</v>
      </c>
      <c r="G80" s="265">
        <f>$G$5</f>
        <v>5785</v>
      </c>
      <c r="I80" s="266">
        <f>F80*G80</f>
        <v>11570</v>
      </c>
      <c r="J80" s="267" t="s">
        <v>39</v>
      </c>
      <c r="L80" s="748">
        <v>25</v>
      </c>
      <c r="N80" s="282">
        <f>I80*L80</f>
        <v>289250</v>
      </c>
      <c r="O80" s="277"/>
      <c r="S80" s="745">
        <f>SUM(N79:N80)</f>
        <v>295035</v>
      </c>
    </row>
    <row r="81" spans="1:19">
      <c r="A81" s="273"/>
      <c r="O81" s="277"/>
    </row>
    <row r="82" spans="1:19" ht="14" thickBot="1">
      <c r="A82" s="273"/>
      <c r="K82" s="283"/>
      <c r="L82" s="284" t="s">
        <v>308</v>
      </c>
      <c r="M82" s="283" t="s">
        <v>309</v>
      </c>
      <c r="N82" s="285">
        <f>SUM(N61:N80)</f>
        <v>1274419.2046153147</v>
      </c>
      <c r="O82" s="277"/>
    </row>
    <row r="83" spans="1:19" ht="15" thickTop="1" thickBot="1">
      <c r="A83" s="286"/>
      <c r="B83" s="287"/>
      <c r="C83" s="287"/>
      <c r="D83" s="287"/>
      <c r="E83" s="288"/>
      <c r="F83" s="289"/>
      <c r="G83" s="289"/>
      <c r="H83" s="287"/>
      <c r="I83" s="290"/>
      <c r="J83" s="291"/>
      <c r="K83" s="287"/>
      <c r="L83" s="289"/>
      <c r="M83" s="287"/>
      <c r="N83" s="287"/>
      <c r="O83" s="292"/>
    </row>
    <row r="84" spans="1:19">
      <c r="A84" s="269"/>
      <c r="B84" s="270"/>
      <c r="C84" s="270"/>
      <c r="D84" s="270"/>
      <c r="E84" s="293"/>
      <c r="F84" s="294"/>
      <c r="G84" s="294"/>
      <c r="H84" s="270"/>
      <c r="I84" s="295"/>
      <c r="J84" s="271"/>
      <c r="K84" s="270"/>
      <c r="L84" s="294"/>
      <c r="M84" s="270"/>
      <c r="N84" s="270"/>
      <c r="O84" s="272"/>
    </row>
    <row r="85" spans="1:19">
      <c r="A85" s="273"/>
      <c r="B85" s="274" t="s">
        <v>330</v>
      </c>
      <c r="C85" s="275"/>
      <c r="D85" s="275"/>
      <c r="E85" s="276"/>
      <c r="F85" s="275"/>
      <c r="G85" s="262"/>
      <c r="J85" s="1175" t="s">
        <v>279</v>
      </c>
      <c r="K85" s="1176"/>
      <c r="L85" s="1176"/>
      <c r="M85" s="1177"/>
      <c r="N85" s="738">
        <f>N109/G86</f>
        <v>226.15599268494282</v>
      </c>
      <c r="O85" s="277"/>
      <c r="R85" s="739" t="s">
        <v>774</v>
      </c>
      <c r="S85" s="739" t="s">
        <v>775</v>
      </c>
    </row>
    <row r="86" spans="1:19" ht="15">
      <c r="A86" s="273"/>
      <c r="C86" s="278" t="s">
        <v>323</v>
      </c>
      <c r="F86" s="740">
        <v>2</v>
      </c>
      <c r="G86" s="740">
        <f>'7. POS'!G24</f>
        <v>740</v>
      </c>
      <c r="I86" s="262"/>
      <c r="J86" s="262"/>
      <c r="L86" s="262"/>
      <c r="O86" s="277"/>
      <c r="R86"/>
      <c r="S86"/>
    </row>
    <row r="87" spans="1:19" ht="15">
      <c r="A87" s="273"/>
      <c r="C87" s="262" t="s">
        <v>281</v>
      </c>
      <c r="E87" s="279" t="s">
        <v>37</v>
      </c>
      <c r="F87" s="280" t="s">
        <v>207</v>
      </c>
      <c r="G87" s="280" t="s">
        <v>38</v>
      </c>
      <c r="I87" s="281" t="s">
        <v>282</v>
      </c>
      <c r="J87" s="267" t="s">
        <v>5</v>
      </c>
      <c r="K87" s="267"/>
      <c r="L87" s="280" t="s">
        <v>2</v>
      </c>
      <c r="N87" s="267" t="s">
        <v>283</v>
      </c>
      <c r="O87" s="277"/>
      <c r="R87"/>
      <c r="S87"/>
    </row>
    <row r="88" spans="1:19" ht="29">
      <c r="A88" s="273"/>
      <c r="D88" s="741" t="s">
        <v>777</v>
      </c>
      <c r="E88" s="742">
        <v>0.15</v>
      </c>
      <c r="F88" s="265">
        <f>$F$86</f>
        <v>2</v>
      </c>
      <c r="G88" s="265">
        <f>$G$86</f>
        <v>740</v>
      </c>
      <c r="I88" s="266">
        <f>E88*F88*G88</f>
        <v>222</v>
      </c>
      <c r="J88" s="267" t="s">
        <v>18</v>
      </c>
      <c r="L88" s="265">
        <f>L61</f>
        <v>5.2121058823529411</v>
      </c>
      <c r="N88" s="282">
        <f>I88*L88</f>
        <v>1157.0875058823528</v>
      </c>
      <c r="O88" s="277"/>
      <c r="R88"/>
      <c r="S88"/>
    </row>
    <row r="89" spans="1:19" ht="15">
      <c r="A89" s="273"/>
      <c r="N89" s="282"/>
      <c r="O89" s="277"/>
      <c r="R89"/>
      <c r="S89"/>
    </row>
    <row r="90" spans="1:19" ht="15">
      <c r="A90" s="273"/>
      <c r="C90" s="262" t="s">
        <v>324</v>
      </c>
      <c r="N90" s="282"/>
      <c r="O90" s="277"/>
      <c r="R90"/>
      <c r="S90"/>
    </row>
    <row r="91" spans="1:19" ht="15">
      <c r="A91" s="273"/>
      <c r="D91" s="262" t="s">
        <v>287</v>
      </c>
      <c r="E91" s="264">
        <f>E94+E95+E97</f>
        <v>0.55000000000000004</v>
      </c>
      <c r="F91" s="265">
        <f>$F$86</f>
        <v>2</v>
      </c>
      <c r="G91" s="265">
        <f>$G$86</f>
        <v>740</v>
      </c>
      <c r="I91" s="266">
        <f>E91*F91*G91</f>
        <v>814.00000000000011</v>
      </c>
      <c r="J91" s="267" t="s">
        <v>18</v>
      </c>
      <c r="L91" s="265">
        <f>L64</f>
        <v>8.2383999999999986</v>
      </c>
      <c r="N91" s="282">
        <f>I91*L91</f>
        <v>6706.0576000000001</v>
      </c>
      <c r="O91" s="277"/>
      <c r="R91"/>
      <c r="S91"/>
    </row>
    <row r="92" spans="1:19" ht="15">
      <c r="A92" s="273"/>
      <c r="D92" s="262" t="s">
        <v>285</v>
      </c>
      <c r="E92" s="264">
        <f>E91</f>
        <v>0.55000000000000004</v>
      </c>
      <c r="F92" s="265">
        <f>$F$86</f>
        <v>2</v>
      </c>
      <c r="G92" s="265">
        <f>$G$86</f>
        <v>740</v>
      </c>
      <c r="I92" s="266">
        <f>E92*F92*G92</f>
        <v>814.00000000000011</v>
      </c>
      <c r="J92" s="267" t="s">
        <v>18</v>
      </c>
      <c r="L92" s="265">
        <f>L65</f>
        <v>37.441176470588232</v>
      </c>
      <c r="N92" s="282">
        <f>I92*L92</f>
        <v>30477.117647058825</v>
      </c>
      <c r="O92" s="277"/>
      <c r="R92"/>
      <c r="S92"/>
    </row>
    <row r="93" spans="1:19" ht="15">
      <c r="A93" s="273"/>
      <c r="N93" s="282"/>
      <c r="O93" s="277"/>
      <c r="R93"/>
      <c r="S93"/>
    </row>
    <row r="94" spans="1:19" ht="15">
      <c r="A94" s="273"/>
      <c r="D94" s="262" t="s">
        <v>288</v>
      </c>
      <c r="E94" s="742">
        <v>0.3</v>
      </c>
      <c r="F94" s="265">
        <f>$F$86</f>
        <v>2</v>
      </c>
      <c r="G94" s="265">
        <f>$G$86</f>
        <v>740</v>
      </c>
      <c r="I94" s="266">
        <f>F94*G94</f>
        <v>1480</v>
      </c>
      <c r="J94" s="267" t="s">
        <v>39</v>
      </c>
      <c r="L94" s="265">
        <f>L67</f>
        <v>11.950983529411765</v>
      </c>
      <c r="N94" s="282">
        <f>I94*L94</f>
        <v>17687.455623529411</v>
      </c>
      <c r="O94" s="277"/>
      <c r="R94"/>
      <c r="S94"/>
    </row>
    <row r="95" spans="1:19" ht="15">
      <c r="A95" s="273"/>
      <c r="D95" s="262" t="s">
        <v>289</v>
      </c>
      <c r="E95" s="742">
        <v>0.2</v>
      </c>
      <c r="F95" s="265">
        <f>$F$5</f>
        <v>2</v>
      </c>
      <c r="G95" s="265">
        <f>$G$86</f>
        <v>740</v>
      </c>
      <c r="I95" s="266">
        <f>F95*G95</f>
        <v>1480</v>
      </c>
      <c r="J95" s="267" t="s">
        <v>39</v>
      </c>
      <c r="L95" s="265">
        <f>L68</f>
        <v>11.518983529411765</v>
      </c>
      <c r="N95" s="282">
        <f>I95*L95</f>
        <v>17048.095623529411</v>
      </c>
      <c r="O95" s="277"/>
      <c r="R95"/>
      <c r="S95"/>
    </row>
    <row r="96" spans="1:19" ht="15">
      <c r="A96" s="273"/>
      <c r="N96" s="282"/>
      <c r="O96" s="277"/>
      <c r="R96"/>
      <c r="S96"/>
    </row>
    <row r="97" spans="1:19" ht="15">
      <c r="A97" s="273"/>
      <c r="D97" s="262" t="s">
        <v>291</v>
      </c>
      <c r="E97" s="742">
        <v>0.05</v>
      </c>
      <c r="F97" s="265">
        <f>$F$86</f>
        <v>2</v>
      </c>
      <c r="G97" s="265">
        <f>$G$86</f>
        <v>740</v>
      </c>
      <c r="I97" s="266">
        <f>F97*G97</f>
        <v>1480</v>
      </c>
      <c r="J97" s="267" t="s">
        <v>39</v>
      </c>
      <c r="L97" s="265">
        <f>L70</f>
        <v>22</v>
      </c>
      <c r="N97" s="282">
        <f>I97*L97</f>
        <v>32560</v>
      </c>
      <c r="O97" s="277"/>
      <c r="R97"/>
      <c r="S97"/>
    </row>
    <row r="98" spans="1:19" ht="15">
      <c r="A98" s="273"/>
      <c r="D98" s="262" t="s">
        <v>292</v>
      </c>
      <c r="F98" s="265">
        <f>$F$86</f>
        <v>2</v>
      </c>
      <c r="G98" s="265">
        <f>$G$86</f>
        <v>740</v>
      </c>
      <c r="I98" s="266">
        <f>F98*G98</f>
        <v>1480</v>
      </c>
      <c r="J98" s="267" t="s">
        <v>39</v>
      </c>
      <c r="L98" s="265">
        <f>L71</f>
        <v>0.5</v>
      </c>
      <c r="N98" s="282">
        <f>I98*L98</f>
        <v>740</v>
      </c>
      <c r="O98" s="277"/>
      <c r="R98"/>
      <c r="S98"/>
    </row>
    <row r="99" spans="1:19" ht="15">
      <c r="A99" s="273"/>
      <c r="N99" s="282"/>
      <c r="O99" s="277"/>
      <c r="R99"/>
      <c r="S99"/>
    </row>
    <row r="100" spans="1:19" ht="15">
      <c r="A100" s="273"/>
      <c r="C100" s="262" t="s">
        <v>325</v>
      </c>
      <c r="N100" s="282"/>
      <c r="O100" s="277"/>
      <c r="R100"/>
      <c r="S100"/>
    </row>
    <row r="101" spans="1:19" ht="15">
      <c r="A101" s="273"/>
      <c r="D101" s="262" t="s">
        <v>318</v>
      </c>
      <c r="G101" s="265">
        <f>$G$86*2*0.75</f>
        <v>1110</v>
      </c>
      <c r="I101" s="266">
        <f>G101</f>
        <v>1110</v>
      </c>
      <c r="J101" s="267" t="s">
        <v>4</v>
      </c>
      <c r="L101" s="265">
        <f>L74</f>
        <v>25.452446342471411</v>
      </c>
      <c r="N101" s="282">
        <f>I101*L101</f>
        <v>28252.215440143267</v>
      </c>
      <c r="O101" s="277"/>
      <c r="R101"/>
      <c r="S101"/>
    </row>
    <row r="102" spans="1:19" ht="15">
      <c r="A102" s="273"/>
      <c r="D102" s="262" t="s">
        <v>319</v>
      </c>
      <c r="G102" s="265">
        <f>$G$86*2*0.25</f>
        <v>370</v>
      </c>
      <c r="I102" s="266">
        <f>G102</f>
        <v>370</v>
      </c>
      <c r="J102" s="267" t="s">
        <v>4</v>
      </c>
      <c r="L102" s="265">
        <f>L75</f>
        <v>26.452446342471411</v>
      </c>
      <c r="N102" s="282">
        <f>I102*L102</f>
        <v>9787.4051467144218</v>
      </c>
      <c r="O102" s="277"/>
      <c r="R102" s="745">
        <f>SUM(N88:N102)</f>
        <v>144415.43458685768</v>
      </c>
      <c r="S102"/>
    </row>
    <row r="103" spans="1:19" ht="15">
      <c r="A103" s="273"/>
      <c r="N103" s="282"/>
      <c r="O103" s="277"/>
      <c r="R103"/>
      <c r="S103"/>
    </row>
    <row r="104" spans="1:19" ht="15">
      <c r="A104" s="273"/>
      <c r="C104" s="278" t="s">
        <v>299</v>
      </c>
      <c r="N104" s="282"/>
      <c r="O104" s="277"/>
      <c r="R104"/>
      <c r="S104"/>
    </row>
    <row r="105" spans="1:19" ht="15">
      <c r="A105" s="273"/>
      <c r="N105" s="282"/>
      <c r="O105" s="277"/>
      <c r="R105"/>
      <c r="S105"/>
    </row>
    <row r="106" spans="1:19" ht="15">
      <c r="A106" s="273"/>
      <c r="D106" s="262" t="s">
        <v>304</v>
      </c>
      <c r="F106" s="265">
        <f>$F$86</f>
        <v>2</v>
      </c>
      <c r="G106" s="265">
        <f>$G$86</f>
        <v>740</v>
      </c>
      <c r="I106" s="266">
        <f>F106*G106</f>
        <v>1480</v>
      </c>
      <c r="J106" s="267" t="s">
        <v>39</v>
      </c>
      <c r="L106" s="265">
        <f>L79</f>
        <v>0.5</v>
      </c>
      <c r="N106" s="282">
        <f>I106*L106</f>
        <v>740</v>
      </c>
      <c r="O106" s="277"/>
      <c r="R106"/>
      <c r="S106"/>
    </row>
    <row r="107" spans="1:19" ht="15">
      <c r="A107" s="273"/>
      <c r="D107" s="262" t="s">
        <v>305</v>
      </c>
      <c r="E107" s="742">
        <v>0.02</v>
      </c>
      <c r="F107" s="265">
        <f>$F$86</f>
        <v>2</v>
      </c>
      <c r="G107" s="265">
        <f>$G$86</f>
        <v>740</v>
      </c>
      <c r="I107" s="266">
        <f>F107*G107</f>
        <v>1480</v>
      </c>
      <c r="J107" s="267" t="s">
        <v>39</v>
      </c>
      <c r="L107" s="748">
        <v>15</v>
      </c>
      <c r="N107" s="282">
        <f>I107*L107</f>
        <v>22200</v>
      </c>
      <c r="O107" s="277"/>
      <c r="S107" s="745">
        <f>SUM(N106:N107)</f>
        <v>22940</v>
      </c>
    </row>
    <row r="108" spans="1:19">
      <c r="A108" s="273"/>
      <c r="O108" s="277"/>
    </row>
    <row r="109" spans="1:19" ht="14" thickBot="1">
      <c r="A109" s="273"/>
      <c r="K109" s="283"/>
      <c r="L109" s="284" t="s">
        <v>308</v>
      </c>
      <c r="M109" s="283" t="s">
        <v>309</v>
      </c>
      <c r="N109" s="285">
        <f>SUM(N88:N107)</f>
        <v>167355.43458685768</v>
      </c>
      <c r="O109" s="277"/>
    </row>
    <row r="110" spans="1:19" ht="15" thickTop="1" thickBot="1">
      <c r="A110" s="286"/>
      <c r="B110" s="287"/>
      <c r="C110" s="287"/>
      <c r="D110" s="287"/>
      <c r="E110" s="288"/>
      <c r="F110" s="289"/>
      <c r="G110" s="289"/>
      <c r="H110" s="287"/>
      <c r="I110" s="290"/>
      <c r="J110" s="291"/>
      <c r="K110" s="287"/>
      <c r="L110" s="289"/>
      <c r="M110" s="287"/>
      <c r="N110" s="287"/>
      <c r="O110" s="292"/>
    </row>
    <row r="111" spans="1:19">
      <c r="A111" s="269"/>
      <c r="B111" s="270"/>
      <c r="C111" s="270"/>
      <c r="D111" s="270"/>
      <c r="E111" s="293"/>
      <c r="F111" s="294"/>
      <c r="G111" s="294"/>
      <c r="H111" s="270"/>
      <c r="I111" s="295"/>
      <c r="J111" s="271"/>
      <c r="K111" s="270"/>
      <c r="L111" s="294"/>
      <c r="M111" s="270"/>
      <c r="N111" s="270"/>
      <c r="O111" s="272"/>
    </row>
    <row r="112" spans="1:19">
      <c r="A112" s="273"/>
      <c r="B112" s="274" t="s">
        <v>491</v>
      </c>
      <c r="C112" s="275"/>
      <c r="D112" s="275"/>
      <c r="E112" s="276"/>
      <c r="F112" s="275"/>
      <c r="G112" s="262"/>
      <c r="J112" s="1175" t="s">
        <v>279</v>
      </c>
      <c r="K112" s="1176"/>
      <c r="L112" s="1176"/>
      <c r="M112" s="1177"/>
      <c r="N112" s="738">
        <f>N136/G113</f>
        <v>313.53154268494279</v>
      </c>
      <c r="O112" s="277"/>
      <c r="R112" s="739" t="s">
        <v>774</v>
      </c>
      <c r="S112" s="739" t="s">
        <v>775</v>
      </c>
    </row>
    <row r="113" spans="1:19" ht="15">
      <c r="A113" s="273"/>
      <c r="C113" s="278" t="s">
        <v>323</v>
      </c>
      <c r="F113" s="740">
        <v>3</v>
      </c>
      <c r="G113" s="740">
        <f>'7. POS'!G24</f>
        <v>740</v>
      </c>
      <c r="I113" s="262"/>
      <c r="J113" s="262"/>
      <c r="L113" s="262"/>
      <c r="O113" s="277"/>
      <c r="R113"/>
      <c r="S113"/>
    </row>
    <row r="114" spans="1:19" ht="15">
      <c r="A114" s="273"/>
      <c r="C114" s="262" t="s">
        <v>281</v>
      </c>
      <c r="E114" s="279" t="s">
        <v>37</v>
      </c>
      <c r="F114" s="280" t="s">
        <v>207</v>
      </c>
      <c r="G114" s="280" t="s">
        <v>38</v>
      </c>
      <c r="I114" s="281" t="s">
        <v>282</v>
      </c>
      <c r="J114" s="267" t="s">
        <v>5</v>
      </c>
      <c r="K114" s="267"/>
      <c r="L114" s="280" t="s">
        <v>2</v>
      </c>
      <c r="N114" s="267" t="s">
        <v>283</v>
      </c>
      <c r="O114" s="277"/>
      <c r="R114"/>
      <c r="S114"/>
    </row>
    <row r="115" spans="1:19" ht="29">
      <c r="A115" s="273"/>
      <c r="D115" s="741" t="s">
        <v>777</v>
      </c>
      <c r="E115" s="742">
        <v>0.15</v>
      </c>
      <c r="F115" s="265">
        <f>$F$113</f>
        <v>3</v>
      </c>
      <c r="G115" s="265">
        <f>$G$113</f>
        <v>740</v>
      </c>
      <c r="I115" s="266">
        <f>E115*F115*G115</f>
        <v>332.99999999999994</v>
      </c>
      <c r="J115" s="267" t="s">
        <v>18</v>
      </c>
      <c r="L115" s="265">
        <f>L88</f>
        <v>5.2121058823529411</v>
      </c>
      <c r="N115" s="282">
        <f>I115*L115</f>
        <v>1735.6312588235292</v>
      </c>
      <c r="O115" s="277"/>
      <c r="R115"/>
      <c r="S115"/>
    </row>
    <row r="116" spans="1:19" ht="15">
      <c r="A116" s="273"/>
      <c r="L116" s="265">
        <f t="shared" ref="L116:L133" si="2">L89</f>
        <v>0</v>
      </c>
      <c r="N116" s="282"/>
      <c r="O116" s="277"/>
      <c r="R116"/>
      <c r="S116"/>
    </row>
    <row r="117" spans="1:19" ht="15">
      <c r="A117" s="273"/>
      <c r="C117" s="262" t="s">
        <v>324</v>
      </c>
      <c r="L117" s="265">
        <f t="shared" si="2"/>
        <v>0</v>
      </c>
      <c r="N117" s="282"/>
      <c r="O117" s="277"/>
      <c r="R117"/>
      <c r="S117"/>
    </row>
    <row r="118" spans="1:19" ht="15">
      <c r="A118" s="273"/>
      <c r="D118" s="262" t="s">
        <v>287</v>
      </c>
      <c r="E118" s="264">
        <f>E121+E122+E124</f>
        <v>0.55000000000000004</v>
      </c>
      <c r="F118" s="265">
        <f>$F$113</f>
        <v>3</v>
      </c>
      <c r="G118" s="265">
        <f>$G$113</f>
        <v>740</v>
      </c>
      <c r="I118" s="266">
        <f>E118*F118*G118</f>
        <v>1221</v>
      </c>
      <c r="J118" s="267" t="s">
        <v>18</v>
      </c>
      <c r="L118" s="265">
        <f t="shared" si="2"/>
        <v>8.2383999999999986</v>
      </c>
      <c r="N118" s="282">
        <f>I118*L118</f>
        <v>10059.086399999998</v>
      </c>
      <c r="O118" s="277"/>
      <c r="R118"/>
      <c r="S118"/>
    </row>
    <row r="119" spans="1:19" ht="15">
      <c r="A119" s="273"/>
      <c r="D119" s="262" t="s">
        <v>285</v>
      </c>
      <c r="E119" s="264">
        <f>E118</f>
        <v>0.55000000000000004</v>
      </c>
      <c r="F119" s="265">
        <f>$F$113</f>
        <v>3</v>
      </c>
      <c r="G119" s="265">
        <f>$G$113</f>
        <v>740</v>
      </c>
      <c r="I119" s="266">
        <f>E119*F119*G119</f>
        <v>1221</v>
      </c>
      <c r="J119" s="267" t="s">
        <v>18</v>
      </c>
      <c r="L119" s="265">
        <f t="shared" si="2"/>
        <v>37.441176470588232</v>
      </c>
      <c r="N119" s="282">
        <f>I119*L119</f>
        <v>45715.676470588231</v>
      </c>
      <c r="O119" s="277"/>
      <c r="R119"/>
      <c r="S119"/>
    </row>
    <row r="120" spans="1:19" ht="15">
      <c r="A120" s="273"/>
      <c r="L120" s="265">
        <f t="shared" si="2"/>
        <v>0</v>
      </c>
      <c r="N120" s="282"/>
      <c r="O120" s="277"/>
      <c r="R120"/>
      <c r="S120"/>
    </row>
    <row r="121" spans="1:19" ht="15">
      <c r="A121" s="273"/>
      <c r="D121" s="262" t="s">
        <v>288</v>
      </c>
      <c r="E121" s="742">
        <v>0.3</v>
      </c>
      <c r="F121" s="265">
        <f>$F$113</f>
        <v>3</v>
      </c>
      <c r="G121" s="265">
        <f>$G$113</f>
        <v>740</v>
      </c>
      <c r="I121" s="266">
        <f>F121*G121</f>
        <v>2220</v>
      </c>
      <c r="J121" s="267" t="s">
        <v>39</v>
      </c>
      <c r="L121" s="265">
        <f t="shared" si="2"/>
        <v>11.950983529411765</v>
      </c>
      <c r="N121" s="282">
        <f>I121*L121</f>
        <v>26531.183435294119</v>
      </c>
      <c r="O121" s="277"/>
      <c r="R121"/>
      <c r="S121"/>
    </row>
    <row r="122" spans="1:19" ht="15">
      <c r="A122" s="273"/>
      <c r="D122" s="262" t="s">
        <v>289</v>
      </c>
      <c r="E122" s="742">
        <v>0.2</v>
      </c>
      <c r="F122" s="265">
        <f>$F$113</f>
        <v>3</v>
      </c>
      <c r="G122" s="265">
        <f>$G$113</f>
        <v>740</v>
      </c>
      <c r="I122" s="266">
        <f>F122*G122</f>
        <v>2220</v>
      </c>
      <c r="J122" s="267" t="s">
        <v>39</v>
      </c>
      <c r="L122" s="265">
        <f t="shared" si="2"/>
        <v>11.518983529411765</v>
      </c>
      <c r="N122" s="282">
        <f>I122*L122</f>
        <v>25572.143435294118</v>
      </c>
      <c r="O122" s="277"/>
      <c r="R122"/>
      <c r="S122"/>
    </row>
    <row r="123" spans="1:19" ht="15">
      <c r="A123" s="273"/>
      <c r="L123" s="265">
        <f t="shared" si="2"/>
        <v>0</v>
      </c>
      <c r="N123" s="282"/>
      <c r="O123" s="277"/>
      <c r="R123"/>
      <c r="S123"/>
    </row>
    <row r="124" spans="1:19" ht="15">
      <c r="A124" s="273"/>
      <c r="D124" s="262" t="s">
        <v>291</v>
      </c>
      <c r="E124" s="742">
        <v>0.05</v>
      </c>
      <c r="F124" s="265">
        <f>$F$113</f>
        <v>3</v>
      </c>
      <c r="G124" s="265">
        <f>$G$113</f>
        <v>740</v>
      </c>
      <c r="I124" s="266">
        <f>F124*G124</f>
        <v>2220</v>
      </c>
      <c r="J124" s="267" t="s">
        <v>39</v>
      </c>
      <c r="L124" s="265">
        <f t="shared" si="2"/>
        <v>22</v>
      </c>
      <c r="N124" s="282">
        <f>I124*L124</f>
        <v>48840</v>
      </c>
      <c r="O124" s="277"/>
      <c r="R124"/>
      <c r="S124"/>
    </row>
    <row r="125" spans="1:19" ht="15">
      <c r="A125" s="273"/>
      <c r="D125" s="262" t="s">
        <v>292</v>
      </c>
      <c r="F125" s="265">
        <f>$F$113</f>
        <v>3</v>
      </c>
      <c r="G125" s="265">
        <f>$G$113</f>
        <v>740</v>
      </c>
      <c r="I125" s="266">
        <f>F125*G125</f>
        <v>2220</v>
      </c>
      <c r="J125" s="267" t="s">
        <v>39</v>
      </c>
      <c r="L125" s="265">
        <f t="shared" si="2"/>
        <v>0.5</v>
      </c>
      <c r="N125" s="282">
        <f>I125*L125</f>
        <v>1110</v>
      </c>
      <c r="O125" s="277"/>
      <c r="R125"/>
      <c r="S125"/>
    </row>
    <row r="126" spans="1:19" ht="15">
      <c r="A126" s="273"/>
      <c r="L126" s="265">
        <f t="shared" si="2"/>
        <v>0</v>
      </c>
      <c r="N126" s="282"/>
      <c r="O126" s="277"/>
      <c r="R126"/>
      <c r="S126"/>
    </row>
    <row r="127" spans="1:19" ht="15">
      <c r="A127" s="273"/>
      <c r="C127" s="262" t="s">
        <v>325</v>
      </c>
      <c r="L127" s="265">
        <f t="shared" si="2"/>
        <v>0</v>
      </c>
      <c r="N127" s="282"/>
      <c r="O127" s="277"/>
      <c r="R127"/>
      <c r="S127"/>
    </row>
    <row r="128" spans="1:19" ht="15">
      <c r="A128" s="273"/>
      <c r="D128" s="262" t="s">
        <v>326</v>
      </c>
      <c r="G128" s="265">
        <f>$G$113*2*0.75</f>
        <v>1110</v>
      </c>
      <c r="I128" s="266">
        <f>G128</f>
        <v>1110</v>
      </c>
      <c r="J128" s="267" t="s">
        <v>4</v>
      </c>
      <c r="L128" s="265">
        <f t="shared" si="2"/>
        <v>25.452446342471411</v>
      </c>
      <c r="N128" s="282">
        <f>I128*L128</f>
        <v>28252.215440143267</v>
      </c>
      <c r="O128" s="277"/>
      <c r="R128"/>
      <c r="S128"/>
    </row>
    <row r="129" spans="1:19" ht="15">
      <c r="A129" s="273"/>
      <c r="D129" s="262" t="s">
        <v>327</v>
      </c>
      <c r="G129" s="265">
        <f>$G$113*2*0.25</f>
        <v>370</v>
      </c>
      <c r="I129" s="266">
        <f>G129</f>
        <v>370</v>
      </c>
      <c r="J129" s="267" t="s">
        <v>4</v>
      </c>
      <c r="L129" s="265">
        <f t="shared" si="2"/>
        <v>26.452446342471411</v>
      </c>
      <c r="N129" s="282">
        <f>I129*L129</f>
        <v>9787.4051467144218</v>
      </c>
      <c r="O129" s="277"/>
      <c r="R129" s="745">
        <f>SUM(N115:N129)</f>
        <v>197603.34158685768</v>
      </c>
      <c r="S129"/>
    </row>
    <row r="130" spans="1:19" ht="15">
      <c r="A130" s="273"/>
      <c r="L130" s="265">
        <f t="shared" si="2"/>
        <v>0</v>
      </c>
      <c r="N130" s="282"/>
      <c r="O130" s="277"/>
      <c r="R130"/>
      <c r="S130"/>
    </row>
    <row r="131" spans="1:19" ht="15">
      <c r="A131" s="273"/>
      <c r="C131" s="278" t="s">
        <v>299</v>
      </c>
      <c r="L131" s="265">
        <f t="shared" si="2"/>
        <v>0</v>
      </c>
      <c r="N131" s="282"/>
      <c r="O131" s="277"/>
      <c r="R131"/>
      <c r="S131"/>
    </row>
    <row r="132" spans="1:19" ht="15">
      <c r="A132" s="273"/>
      <c r="L132" s="265">
        <f t="shared" si="2"/>
        <v>0</v>
      </c>
      <c r="N132" s="282"/>
      <c r="O132" s="277"/>
      <c r="R132"/>
      <c r="S132"/>
    </row>
    <row r="133" spans="1:19" ht="15">
      <c r="A133" s="273"/>
      <c r="D133" s="262" t="s">
        <v>304</v>
      </c>
      <c r="F133" s="265">
        <f>$F$113</f>
        <v>3</v>
      </c>
      <c r="G133" s="265">
        <f>$G$113</f>
        <v>740</v>
      </c>
      <c r="I133" s="266">
        <f>F133*G133</f>
        <v>2220</v>
      </c>
      <c r="J133" s="267" t="s">
        <v>39</v>
      </c>
      <c r="L133" s="265">
        <f t="shared" si="2"/>
        <v>0.5</v>
      </c>
      <c r="N133" s="282">
        <f>I133*L133</f>
        <v>1110</v>
      </c>
      <c r="O133" s="277"/>
      <c r="R133"/>
      <c r="S133"/>
    </row>
    <row r="134" spans="1:19" ht="15">
      <c r="A134" s="273"/>
      <c r="D134" s="262" t="s">
        <v>305</v>
      </c>
      <c r="E134" s="742">
        <v>0.02</v>
      </c>
      <c r="F134" s="265">
        <f>$F$113</f>
        <v>3</v>
      </c>
      <c r="G134" s="265">
        <f>$G$113</f>
        <v>740</v>
      </c>
      <c r="I134" s="266">
        <f>F134*G134</f>
        <v>2220</v>
      </c>
      <c r="J134" s="267" t="s">
        <v>39</v>
      </c>
      <c r="L134" s="748">
        <v>15</v>
      </c>
      <c r="N134" s="282">
        <f>I134*L134</f>
        <v>33300</v>
      </c>
      <c r="O134" s="277"/>
      <c r="S134" s="745">
        <f>SUM(N133:N134)</f>
        <v>34410</v>
      </c>
    </row>
    <row r="135" spans="1:19">
      <c r="A135" s="273"/>
      <c r="O135" s="277"/>
    </row>
    <row r="136" spans="1:19" ht="14" thickBot="1">
      <c r="A136" s="273"/>
      <c r="K136" s="283"/>
      <c r="L136" s="284" t="s">
        <v>308</v>
      </c>
      <c r="M136" s="283" t="s">
        <v>309</v>
      </c>
      <c r="N136" s="285">
        <f>SUM(N115:N134)</f>
        <v>232013.34158685768</v>
      </c>
      <c r="O136" s="277"/>
    </row>
    <row r="137" spans="1:19" ht="15" thickTop="1" thickBot="1">
      <c r="A137" s="286"/>
      <c r="B137" s="287"/>
      <c r="C137" s="287"/>
      <c r="D137" s="287"/>
      <c r="E137" s="288"/>
      <c r="F137" s="289"/>
      <c r="G137" s="289"/>
      <c r="H137" s="287"/>
      <c r="I137" s="290"/>
      <c r="J137" s="291"/>
      <c r="K137" s="287"/>
      <c r="L137" s="289"/>
      <c r="M137" s="287"/>
      <c r="N137" s="287"/>
      <c r="O137" s="292"/>
    </row>
    <row r="150" spans="1:19" s="265" customFormat="1">
      <c r="A150" s="262"/>
      <c r="B150" s="262"/>
      <c r="C150" s="262"/>
      <c r="D150" s="262"/>
      <c r="E150" s="264">
        <f>E146+E153+E154+E156+E157-0.45</f>
        <v>-0.45</v>
      </c>
      <c r="H150" s="262"/>
      <c r="I150" s="266"/>
      <c r="J150" s="267"/>
      <c r="K150" s="262"/>
      <c r="M150" s="262"/>
      <c r="N150" s="262"/>
      <c r="O150" s="262"/>
      <c r="P150" s="262"/>
      <c r="Q150" s="262"/>
      <c r="R150" s="262"/>
      <c r="S150" s="262"/>
    </row>
  </sheetData>
  <mergeCells count="5">
    <mergeCell ref="J4:M4"/>
    <mergeCell ref="J31:M31"/>
    <mergeCell ref="J58:M58"/>
    <mergeCell ref="J85:M85"/>
    <mergeCell ref="J112:M112"/>
  </mergeCells>
  <pageMargins left="0.25" right="0.25" top="0.17000000000000004" bottom="0.55000000000000004" header="0.17000000000000004" footer="0.24000000000000002"/>
  <pageSetup orientation="landscape"/>
  <headerFooter>
    <oddFooter>&amp;LDate Printed : &amp;D_x000D_Time Printed : &amp;T&amp;RFilename : &amp;F_x000D_Sheetname : 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38DAE-B447-6748-A7BB-55B4107DDB1B}">
  <sheetPr>
    <tabColor theme="9" tint="0.39997558519241921"/>
  </sheetPr>
  <dimension ref="A1:R174"/>
  <sheetViews>
    <sheetView workbookViewId="0">
      <selection activeCell="G8" sqref="G8"/>
    </sheetView>
  </sheetViews>
  <sheetFormatPr baseColWidth="10" defaultColWidth="9.1640625" defaultRowHeight="15"/>
  <cols>
    <col min="1" max="1" width="3.5" customWidth="1"/>
    <col min="2" max="2" width="5.1640625" customWidth="1"/>
    <col min="3" max="3" width="4.5" customWidth="1"/>
    <col min="4" max="4" width="20.5" customWidth="1"/>
    <col min="8" max="8" width="2.5" customWidth="1"/>
    <col min="9" max="9" width="9.83203125" bestFit="1" customWidth="1"/>
    <col min="10" max="10" width="4.6640625" customWidth="1"/>
    <col min="11" max="11" width="1.6640625" customWidth="1"/>
    <col min="13" max="13" width="2" customWidth="1"/>
    <col min="14" max="14" width="12.83203125" customWidth="1"/>
    <col min="15" max="15" width="3.5" customWidth="1"/>
    <col min="16" max="16" width="3" customWidth="1"/>
    <col min="17" max="17" width="11.5" bestFit="1" customWidth="1"/>
  </cols>
  <sheetData>
    <row r="1" spans="1:17" ht="23">
      <c r="A1" s="262"/>
      <c r="B1" s="262"/>
      <c r="C1" s="263" t="s">
        <v>331</v>
      </c>
      <c r="D1" s="262"/>
      <c r="E1" s="296"/>
      <c r="F1" s="265"/>
      <c r="G1" s="265"/>
      <c r="H1" s="262"/>
      <c r="I1" s="266"/>
      <c r="J1" s="267"/>
      <c r="K1" s="262"/>
      <c r="L1" s="268" t="s">
        <v>332</v>
      </c>
      <c r="M1" s="262"/>
      <c r="N1" s="262"/>
      <c r="O1" s="262"/>
      <c r="P1" s="262"/>
      <c r="Q1" s="262"/>
    </row>
    <row r="2" spans="1:17" ht="16" thickBot="1">
      <c r="A2" s="262"/>
      <c r="B2" s="262"/>
      <c r="C2" s="262" t="s">
        <v>277</v>
      </c>
      <c r="D2" s="262"/>
      <c r="E2" s="296"/>
      <c r="F2" s="265"/>
      <c r="G2" s="265"/>
      <c r="H2" s="262"/>
      <c r="I2" s="266"/>
      <c r="J2" s="267"/>
      <c r="K2" s="262"/>
      <c r="L2" s="265"/>
      <c r="M2" s="262"/>
      <c r="N2" s="262"/>
      <c r="O2" s="262"/>
      <c r="P2" s="262"/>
      <c r="Q2" s="262"/>
    </row>
    <row r="3" spans="1:17">
      <c r="A3" s="269"/>
      <c r="B3" s="270"/>
      <c r="C3" s="270"/>
      <c r="D3" s="270"/>
      <c r="E3" s="297"/>
      <c r="F3" s="270"/>
      <c r="G3" s="270"/>
      <c r="H3" s="271"/>
      <c r="I3" s="270"/>
      <c r="J3" s="270"/>
      <c r="K3" s="270"/>
      <c r="L3" s="270"/>
      <c r="M3" s="270"/>
      <c r="N3" s="270"/>
      <c r="O3" s="272"/>
      <c r="P3" s="262"/>
      <c r="Q3" s="262"/>
    </row>
    <row r="4" spans="1:17">
      <c r="A4" s="273"/>
      <c r="B4" s="274" t="s">
        <v>333</v>
      </c>
      <c r="C4" s="275"/>
      <c r="D4" s="275"/>
      <c r="E4" s="298"/>
      <c r="F4" s="262"/>
      <c r="G4" s="262"/>
      <c r="H4" s="262"/>
      <c r="I4" s="266"/>
      <c r="J4" s="1175" t="s">
        <v>279</v>
      </c>
      <c r="K4" s="1176"/>
      <c r="L4" s="1176"/>
      <c r="M4" s="1177"/>
      <c r="N4" s="738">
        <f>N51/G7</f>
        <v>346.39338653948715</v>
      </c>
      <c r="O4" s="277"/>
      <c r="P4" s="262"/>
      <c r="Q4" s="262"/>
    </row>
    <row r="5" spans="1:17">
      <c r="A5" s="273"/>
      <c r="B5" s="262"/>
      <c r="C5" s="262"/>
      <c r="D5" s="262"/>
      <c r="E5" s="262"/>
      <c r="F5" s="262"/>
      <c r="G5" s="262"/>
      <c r="H5" s="262"/>
      <c r="I5" s="262"/>
      <c r="J5" s="262"/>
      <c r="K5" s="262"/>
      <c r="L5" s="262"/>
      <c r="M5" s="262"/>
      <c r="N5" s="262"/>
      <c r="O5" s="277"/>
      <c r="P5" s="262"/>
      <c r="Q5" s="262"/>
    </row>
    <row r="6" spans="1:17">
      <c r="A6" s="273"/>
      <c r="B6" s="262"/>
      <c r="C6" s="262"/>
      <c r="D6" s="262"/>
      <c r="E6" s="1178" t="s">
        <v>782</v>
      </c>
      <c r="F6" s="1179"/>
      <c r="G6" s="749">
        <f>'Dwelling Mix'!AB90</f>
        <v>445</v>
      </c>
      <c r="H6" s="262"/>
      <c r="I6" s="262"/>
      <c r="J6" s="262"/>
      <c r="K6" s="262"/>
      <c r="L6" s="262"/>
      <c r="M6" s="262"/>
      <c r="N6" s="262"/>
      <c r="O6" s="277"/>
      <c r="P6" s="262"/>
      <c r="Q6" s="262"/>
    </row>
    <row r="7" spans="1:17">
      <c r="A7" s="273"/>
      <c r="B7" s="262"/>
      <c r="C7" s="278"/>
      <c r="D7" s="262"/>
      <c r="E7" s="1178" t="s">
        <v>252</v>
      </c>
      <c r="F7" s="1179"/>
      <c r="G7" s="750">
        <f>'Dwelling Mix'!AA98</f>
        <v>2892.5</v>
      </c>
      <c r="H7" s="262" t="s">
        <v>4</v>
      </c>
      <c r="I7" s="262"/>
      <c r="J7" s="262"/>
      <c r="K7" s="262"/>
      <c r="L7" s="262"/>
      <c r="M7" s="262"/>
      <c r="N7" s="262"/>
      <c r="O7" s="277"/>
      <c r="P7" s="262"/>
      <c r="Q7" s="262"/>
    </row>
    <row r="8" spans="1:17">
      <c r="A8" s="273"/>
      <c r="B8" s="262"/>
      <c r="C8" s="262"/>
      <c r="D8" s="262"/>
      <c r="E8" s="299" t="s">
        <v>334</v>
      </c>
      <c r="F8" s="280" t="s">
        <v>207</v>
      </c>
      <c r="G8" s="280" t="s">
        <v>38</v>
      </c>
      <c r="H8" s="262"/>
      <c r="I8" s="281" t="s">
        <v>282</v>
      </c>
      <c r="J8" s="267" t="s">
        <v>5</v>
      </c>
      <c r="K8" s="267"/>
      <c r="L8" s="280" t="s">
        <v>2</v>
      </c>
      <c r="M8" s="262"/>
      <c r="N8" s="267" t="s">
        <v>283</v>
      </c>
      <c r="O8" s="277"/>
      <c r="P8" s="262"/>
      <c r="Q8" s="262"/>
    </row>
    <row r="9" spans="1:17">
      <c r="A9" s="273"/>
      <c r="B9" s="262"/>
      <c r="C9" s="262"/>
      <c r="D9" s="751" t="s">
        <v>783</v>
      </c>
      <c r="E9" s="299"/>
      <c r="F9" s="280"/>
      <c r="G9" s="280"/>
      <c r="H9" s="262"/>
      <c r="I9" s="281"/>
      <c r="J9" s="267"/>
      <c r="K9" s="267"/>
      <c r="L9" s="280"/>
      <c r="M9" s="262"/>
      <c r="N9" s="267"/>
      <c r="O9" s="277"/>
      <c r="P9" s="262"/>
      <c r="Q9" s="262"/>
    </row>
    <row r="10" spans="1:17">
      <c r="A10" s="273"/>
      <c r="B10" s="262"/>
      <c r="C10" s="262" t="s">
        <v>335</v>
      </c>
      <c r="D10" s="262"/>
      <c r="E10" s="296"/>
      <c r="F10" s="265"/>
      <c r="G10" s="265"/>
      <c r="H10" s="262"/>
      <c r="I10" s="266"/>
      <c r="J10" s="267"/>
      <c r="K10" s="262"/>
      <c r="L10" s="265"/>
      <c r="M10" s="262"/>
      <c r="N10" s="282"/>
      <c r="O10" s="277"/>
      <c r="P10" s="262"/>
      <c r="Q10" s="262"/>
    </row>
    <row r="11" spans="1:17">
      <c r="A11" s="273"/>
      <c r="B11" s="262"/>
      <c r="C11" s="262"/>
      <c r="D11" s="262" t="s">
        <v>336</v>
      </c>
      <c r="E11" s="296">
        <v>225</v>
      </c>
      <c r="F11" s="265"/>
      <c r="G11" s="265"/>
      <c r="H11" s="262"/>
      <c r="I11" s="266">
        <f>G7</f>
        <v>2892.5</v>
      </c>
      <c r="J11" s="267" t="s">
        <v>4</v>
      </c>
      <c r="K11" s="262"/>
      <c r="L11" s="265">
        <v>134.87695439999999</v>
      </c>
      <c r="M11" s="262"/>
      <c r="N11" s="282">
        <f>I11*L11</f>
        <v>390131.59060199995</v>
      </c>
      <c r="O11" s="277"/>
      <c r="P11" s="262"/>
      <c r="Q11" s="282">
        <f>N11</f>
        <v>390131.59060199995</v>
      </c>
    </row>
    <row r="12" spans="1:17">
      <c r="A12" s="273"/>
      <c r="B12" s="262"/>
      <c r="C12" s="262"/>
      <c r="D12" s="262"/>
      <c r="E12" s="299"/>
      <c r="F12" s="280"/>
      <c r="G12" s="280"/>
      <c r="H12" s="262"/>
      <c r="I12" s="281"/>
      <c r="J12" s="267"/>
      <c r="K12" s="267"/>
      <c r="L12" s="280"/>
      <c r="M12" s="262"/>
      <c r="N12" s="267"/>
      <c r="O12" s="277"/>
      <c r="P12" s="262"/>
      <c r="Q12" s="262"/>
    </row>
    <row r="13" spans="1:17">
      <c r="A13" s="273"/>
      <c r="B13" s="262"/>
      <c r="C13" s="262"/>
      <c r="D13" s="751" t="s">
        <v>211</v>
      </c>
      <c r="E13" s="299"/>
      <c r="F13" s="280"/>
      <c r="G13" s="280"/>
      <c r="H13" s="262"/>
      <c r="I13" s="281"/>
      <c r="J13" s="267"/>
      <c r="K13" s="267"/>
      <c r="L13" s="280"/>
      <c r="M13" s="262"/>
      <c r="N13" s="267"/>
      <c r="O13" s="277"/>
      <c r="P13" s="262"/>
      <c r="Q13" s="262"/>
    </row>
    <row r="14" spans="1:17">
      <c r="A14" s="273"/>
      <c r="B14" s="262"/>
      <c r="C14" s="262"/>
      <c r="D14" s="262" t="s">
        <v>784</v>
      </c>
      <c r="E14" s="296"/>
      <c r="F14" s="265"/>
      <c r="G14" s="265"/>
      <c r="H14" s="262"/>
      <c r="I14" s="266">
        <f>G7/30</f>
        <v>96.416666666666671</v>
      </c>
      <c r="J14" s="267" t="s">
        <v>16</v>
      </c>
      <c r="K14" s="262"/>
      <c r="L14" s="744">
        <v>3075</v>
      </c>
      <c r="M14" s="262"/>
      <c r="N14" s="282">
        <f>I14*L14</f>
        <v>296481.25</v>
      </c>
      <c r="O14" s="277"/>
      <c r="P14" s="262"/>
      <c r="Q14" s="282">
        <f>N14</f>
        <v>296481.25</v>
      </c>
    </row>
    <row r="15" spans="1:17">
      <c r="A15" s="273"/>
      <c r="B15" s="262"/>
      <c r="C15" s="262"/>
      <c r="D15" s="262"/>
      <c r="E15" s="299"/>
      <c r="F15" s="280"/>
      <c r="G15" s="280"/>
      <c r="H15" s="262"/>
      <c r="I15" s="281"/>
      <c r="J15" s="267"/>
      <c r="K15" s="267"/>
      <c r="L15" s="280"/>
      <c r="M15" s="262"/>
      <c r="N15" s="267"/>
      <c r="O15" s="277"/>
      <c r="P15" s="262"/>
      <c r="Q15" s="262"/>
    </row>
    <row r="16" spans="1:17">
      <c r="A16" s="273"/>
      <c r="B16" s="262"/>
      <c r="C16" s="262"/>
      <c r="D16" s="262"/>
      <c r="E16" s="299"/>
      <c r="F16" s="280"/>
      <c r="G16" s="280"/>
      <c r="H16" s="262"/>
      <c r="I16" s="281"/>
      <c r="J16" s="267"/>
      <c r="K16" s="267"/>
      <c r="L16" s="280"/>
      <c r="M16" s="262"/>
      <c r="N16" s="267"/>
      <c r="O16" s="277"/>
      <c r="P16" s="262"/>
      <c r="Q16" s="262"/>
    </row>
    <row r="17" spans="1:17">
      <c r="A17" s="273"/>
      <c r="B17" s="262"/>
      <c r="C17" s="262"/>
      <c r="D17" s="751" t="s">
        <v>344</v>
      </c>
      <c r="E17" s="299"/>
      <c r="F17" s="280"/>
      <c r="G17" s="280"/>
      <c r="H17" s="262"/>
      <c r="I17" s="281"/>
      <c r="J17" s="267"/>
      <c r="K17" s="267"/>
      <c r="L17" s="280"/>
      <c r="M17" s="262"/>
      <c r="N17" s="267"/>
      <c r="O17" s="277"/>
      <c r="P17" s="262"/>
      <c r="Q17" s="262"/>
    </row>
    <row r="18" spans="1:17">
      <c r="A18" s="273"/>
      <c r="B18" s="262"/>
      <c r="C18" s="262" t="s">
        <v>335</v>
      </c>
      <c r="D18" s="262"/>
      <c r="E18" s="296"/>
      <c r="F18" s="265"/>
      <c r="G18" s="265"/>
      <c r="H18" s="262"/>
      <c r="I18" s="266"/>
      <c r="J18" s="267"/>
      <c r="K18" s="262"/>
      <c r="L18" s="265"/>
      <c r="M18" s="262"/>
      <c r="N18" s="282"/>
      <c r="O18" s="277"/>
      <c r="P18" s="262"/>
      <c r="Q18" s="262"/>
    </row>
    <row r="19" spans="1:17">
      <c r="A19" s="273"/>
      <c r="B19" s="262"/>
      <c r="C19" s="262"/>
      <c r="D19" s="262" t="s">
        <v>785</v>
      </c>
      <c r="E19" s="296">
        <v>150</v>
      </c>
      <c r="F19" s="265"/>
      <c r="G19" s="265">
        <v>8</v>
      </c>
      <c r="H19" s="262"/>
      <c r="I19" s="266">
        <f>I30*G19</f>
        <v>771.33333333333337</v>
      </c>
      <c r="J19" s="267" t="s">
        <v>4</v>
      </c>
      <c r="K19" s="262"/>
      <c r="L19" s="265">
        <f>L11*0.5</f>
        <v>67.438477199999994</v>
      </c>
      <c r="M19" s="262"/>
      <c r="N19" s="282">
        <f>I19*L19</f>
        <v>52017.545413599997</v>
      </c>
      <c r="O19" s="277"/>
      <c r="P19" s="262"/>
      <c r="Q19" s="262"/>
    </row>
    <row r="20" spans="1:17">
      <c r="A20" s="273"/>
      <c r="B20" s="262"/>
      <c r="C20" s="262"/>
      <c r="D20" s="262"/>
      <c r="E20" s="296"/>
      <c r="F20" s="265"/>
      <c r="G20" s="265"/>
      <c r="H20" s="262"/>
      <c r="I20" s="266"/>
      <c r="J20" s="267"/>
      <c r="K20" s="262"/>
      <c r="L20" s="265"/>
      <c r="M20" s="262"/>
      <c r="N20" s="282"/>
      <c r="O20" s="277"/>
      <c r="P20" s="262"/>
      <c r="Q20" s="262"/>
    </row>
    <row r="21" spans="1:17">
      <c r="A21" s="273"/>
      <c r="B21" s="262"/>
      <c r="C21" s="262"/>
      <c r="D21" s="262" t="s">
        <v>337</v>
      </c>
      <c r="E21" s="296"/>
      <c r="F21" s="265"/>
      <c r="G21" s="265">
        <v>1</v>
      </c>
      <c r="H21" s="262"/>
      <c r="I21" s="266">
        <f>I30</f>
        <v>96.416666666666671</v>
      </c>
      <c r="J21" s="267" t="s">
        <v>19</v>
      </c>
      <c r="K21" s="262"/>
      <c r="L21" s="744">
        <v>25</v>
      </c>
      <c r="M21" s="262"/>
      <c r="N21" s="282">
        <f t="shared" ref="N21:N42" si="0">I21*L21</f>
        <v>2410.416666666667</v>
      </c>
      <c r="O21" s="277"/>
      <c r="P21" s="262"/>
      <c r="Q21" s="262"/>
    </row>
    <row r="22" spans="1:17">
      <c r="A22" s="273"/>
      <c r="B22" s="262"/>
      <c r="C22" s="262"/>
      <c r="D22" s="262"/>
      <c r="E22" s="296"/>
      <c r="F22" s="265"/>
      <c r="G22" s="265"/>
      <c r="H22" s="262"/>
      <c r="I22" s="266"/>
      <c r="J22" s="267"/>
      <c r="K22" s="262"/>
      <c r="L22" s="265"/>
      <c r="M22" s="262"/>
      <c r="N22" s="282"/>
      <c r="O22" s="277"/>
      <c r="P22" s="262"/>
      <c r="Q22" s="262"/>
    </row>
    <row r="23" spans="1:17">
      <c r="A23" s="273"/>
      <c r="B23" s="262"/>
      <c r="C23" s="262" t="s">
        <v>338</v>
      </c>
      <c r="D23" s="262"/>
      <c r="E23" s="296"/>
      <c r="F23" s="265"/>
      <c r="G23" s="265"/>
      <c r="H23" s="262"/>
      <c r="I23" s="266"/>
      <c r="J23" s="267"/>
      <c r="K23" s="262"/>
      <c r="L23" s="265"/>
      <c r="M23" s="262"/>
      <c r="N23" s="282"/>
      <c r="O23" s="277"/>
      <c r="P23" s="262"/>
      <c r="Q23" s="262"/>
    </row>
    <row r="24" spans="1:17">
      <c r="A24" s="273"/>
      <c r="B24" s="262"/>
      <c r="C24" s="262"/>
      <c r="D24" s="262" t="s">
        <v>339</v>
      </c>
      <c r="E24" s="296"/>
      <c r="F24" s="265"/>
      <c r="G24" s="265">
        <v>1</v>
      </c>
      <c r="H24" s="262"/>
      <c r="I24" s="266">
        <f>I30</f>
        <v>96.416666666666671</v>
      </c>
      <c r="J24" s="267" t="s">
        <v>19</v>
      </c>
      <c r="K24" s="262"/>
      <c r="L24" s="744">
        <v>35</v>
      </c>
      <c r="M24" s="262"/>
      <c r="N24" s="282">
        <f t="shared" si="0"/>
        <v>3374.5833333333335</v>
      </c>
      <c r="O24" s="277"/>
      <c r="P24" s="262"/>
      <c r="Q24" s="262"/>
    </row>
    <row r="25" spans="1:17">
      <c r="A25" s="273"/>
      <c r="B25" s="262"/>
      <c r="C25" s="262"/>
      <c r="D25" s="262" t="s">
        <v>340</v>
      </c>
      <c r="E25" s="296"/>
      <c r="F25" s="265"/>
      <c r="G25" s="265"/>
      <c r="H25" s="262"/>
      <c r="I25" s="266"/>
      <c r="J25" s="267" t="s">
        <v>19</v>
      </c>
      <c r="K25" s="262"/>
      <c r="L25" s="265"/>
      <c r="M25" s="262"/>
      <c r="N25" s="282">
        <f t="shared" si="0"/>
        <v>0</v>
      </c>
      <c r="O25" s="277"/>
      <c r="P25" s="262"/>
      <c r="Q25" s="262"/>
    </row>
    <row r="26" spans="1:17">
      <c r="A26" s="273"/>
      <c r="B26" s="262"/>
      <c r="C26" s="262"/>
      <c r="D26" s="262" t="s">
        <v>341</v>
      </c>
      <c r="E26" s="296"/>
      <c r="F26" s="265"/>
      <c r="G26" s="265"/>
      <c r="H26" s="262"/>
      <c r="I26" s="266"/>
      <c r="J26" s="267" t="s">
        <v>19</v>
      </c>
      <c r="K26" s="262"/>
      <c r="L26" s="265"/>
      <c r="M26" s="262"/>
      <c r="N26" s="282">
        <f t="shared" si="0"/>
        <v>0</v>
      </c>
      <c r="O26" s="277"/>
      <c r="P26" s="262"/>
      <c r="Q26" s="262"/>
    </row>
    <row r="27" spans="1:17">
      <c r="A27" s="273"/>
      <c r="B27" s="262"/>
      <c r="C27" s="262"/>
      <c r="D27" s="262" t="s">
        <v>342</v>
      </c>
      <c r="E27" s="296"/>
      <c r="F27" s="265"/>
      <c r="G27" s="265"/>
      <c r="H27" s="262"/>
      <c r="I27" s="266"/>
      <c r="J27" s="267" t="s">
        <v>19</v>
      </c>
      <c r="K27" s="262"/>
      <c r="L27" s="265"/>
      <c r="M27" s="262"/>
      <c r="N27" s="282">
        <f t="shared" si="0"/>
        <v>0</v>
      </c>
      <c r="O27" s="277"/>
      <c r="P27" s="262"/>
      <c r="Q27" s="262"/>
    </row>
    <row r="28" spans="1:17">
      <c r="A28" s="273"/>
      <c r="B28" s="262"/>
      <c r="C28" s="262"/>
      <c r="D28" s="262" t="s">
        <v>343</v>
      </c>
      <c r="E28" s="296"/>
      <c r="F28" s="265"/>
      <c r="G28" s="265"/>
      <c r="H28" s="262"/>
      <c r="I28" s="266"/>
      <c r="J28" s="267" t="s">
        <v>19</v>
      </c>
      <c r="K28" s="262"/>
      <c r="L28" s="265"/>
      <c r="M28" s="262"/>
      <c r="N28" s="282">
        <f t="shared" si="0"/>
        <v>0</v>
      </c>
      <c r="O28" s="277"/>
    </row>
    <row r="29" spans="1:17">
      <c r="A29" s="273"/>
      <c r="B29" s="262"/>
      <c r="C29" s="262"/>
      <c r="D29" s="262"/>
      <c r="E29" s="296"/>
      <c r="F29" s="265"/>
      <c r="G29" s="265"/>
      <c r="H29" s="262"/>
      <c r="I29" s="266"/>
      <c r="J29" s="267"/>
      <c r="K29" s="262"/>
      <c r="L29" s="265"/>
      <c r="M29" s="262"/>
      <c r="N29" s="282"/>
      <c r="O29" s="277"/>
    </row>
    <row r="30" spans="1:17">
      <c r="A30" s="273"/>
      <c r="B30" s="262"/>
      <c r="C30" s="262" t="s">
        <v>344</v>
      </c>
      <c r="D30" s="262"/>
      <c r="E30" s="296"/>
      <c r="F30" s="265"/>
      <c r="G30" s="265">
        <v>1</v>
      </c>
      <c r="H30" s="262"/>
      <c r="I30" s="266">
        <f>G7/30</f>
        <v>96.416666666666671</v>
      </c>
      <c r="J30" s="267" t="s">
        <v>19</v>
      </c>
      <c r="K30" s="262"/>
      <c r="L30" s="744">
        <v>280</v>
      </c>
      <c r="M30" s="262"/>
      <c r="N30" s="282">
        <f t="shared" si="0"/>
        <v>26996.666666666668</v>
      </c>
      <c r="O30" s="277"/>
      <c r="Q30" s="86"/>
    </row>
    <row r="31" spans="1:17">
      <c r="A31" s="273"/>
      <c r="B31" s="262"/>
      <c r="C31" s="262" t="s">
        <v>345</v>
      </c>
      <c r="D31" s="262"/>
      <c r="E31" s="296"/>
      <c r="F31" s="265"/>
      <c r="G31" s="265">
        <v>2</v>
      </c>
      <c r="H31" s="262"/>
      <c r="I31" s="266">
        <f>I30*G31</f>
        <v>192.83333333333334</v>
      </c>
      <c r="J31" s="267" t="s">
        <v>19</v>
      </c>
      <c r="K31" s="262"/>
      <c r="L31" s="744">
        <v>18</v>
      </c>
      <c r="M31" s="262"/>
      <c r="N31" s="282">
        <f t="shared" si="0"/>
        <v>3471</v>
      </c>
      <c r="O31" s="277"/>
    </row>
    <row r="32" spans="1:17">
      <c r="A32" s="273"/>
      <c r="B32" s="262"/>
      <c r="C32" s="262" t="s">
        <v>346</v>
      </c>
      <c r="D32" s="262"/>
      <c r="E32" s="296"/>
      <c r="F32" s="265"/>
      <c r="G32" s="265">
        <v>2</v>
      </c>
      <c r="H32" s="262"/>
      <c r="I32" s="266">
        <f>I30*G32</f>
        <v>192.83333333333334</v>
      </c>
      <c r="J32" s="267" t="s">
        <v>4</v>
      </c>
      <c r="K32" s="262"/>
      <c r="L32" s="744">
        <v>20</v>
      </c>
      <c r="M32" s="262"/>
      <c r="N32" s="282">
        <f t="shared" si="0"/>
        <v>3856.666666666667</v>
      </c>
      <c r="O32" s="277"/>
    </row>
    <row r="33" spans="1:18">
      <c r="A33" s="273"/>
      <c r="B33" s="262"/>
      <c r="C33" s="262" t="s">
        <v>347</v>
      </c>
      <c r="D33" s="262"/>
      <c r="E33" s="296"/>
      <c r="F33" s="265"/>
      <c r="G33" s="265">
        <v>2</v>
      </c>
      <c r="H33" s="262"/>
      <c r="I33" s="266">
        <f>G7*G33</f>
        <v>5785</v>
      </c>
      <c r="J33" s="267" t="s">
        <v>4</v>
      </c>
      <c r="K33" s="262"/>
      <c r="L33" s="744">
        <v>28</v>
      </c>
      <c r="M33" s="262"/>
      <c r="N33" s="752">
        <f t="shared" si="0"/>
        <v>161980</v>
      </c>
      <c r="O33" s="277"/>
      <c r="Q33" s="86">
        <f>SUM(N18:N33)</f>
        <v>254106.87874693333</v>
      </c>
      <c r="R33" t="s">
        <v>786</v>
      </c>
    </row>
    <row r="34" spans="1:18">
      <c r="A34" s="273"/>
      <c r="B34" s="262"/>
      <c r="C34" s="262"/>
      <c r="D34" s="262"/>
      <c r="E34" s="296"/>
      <c r="F34" s="265"/>
      <c r="G34" s="265"/>
      <c r="H34" s="262"/>
      <c r="I34" s="266"/>
      <c r="J34" s="267"/>
      <c r="K34" s="262"/>
      <c r="L34" s="265"/>
      <c r="M34" s="262"/>
      <c r="N34" s="752" t="s">
        <v>787</v>
      </c>
      <c r="O34" s="277"/>
    </row>
    <row r="35" spans="1:18">
      <c r="A35" s="273"/>
      <c r="B35" s="262"/>
      <c r="D35" s="751" t="s">
        <v>348</v>
      </c>
      <c r="E35" s="296"/>
      <c r="F35" s="265"/>
      <c r="G35" s="265"/>
      <c r="H35" s="262"/>
      <c r="I35" s="266"/>
      <c r="J35" s="267"/>
      <c r="K35" s="262"/>
      <c r="L35" s="265"/>
      <c r="M35" s="262"/>
      <c r="N35" s="282"/>
      <c r="O35" s="277"/>
    </row>
    <row r="36" spans="1:18">
      <c r="A36" s="273"/>
      <c r="B36" s="262"/>
      <c r="C36" s="262" t="s">
        <v>335</v>
      </c>
      <c r="D36" s="262"/>
      <c r="E36" s="296"/>
      <c r="F36" s="265"/>
      <c r="G36" s="265"/>
      <c r="H36" s="262"/>
      <c r="I36" s="266"/>
      <c r="J36" s="267"/>
      <c r="K36" s="262"/>
      <c r="L36" s="265"/>
      <c r="M36" s="262"/>
      <c r="N36" s="282"/>
      <c r="O36" s="277"/>
    </row>
    <row r="37" spans="1:18">
      <c r="A37" s="273"/>
      <c r="B37" s="262"/>
      <c r="C37" s="262"/>
      <c r="D37" s="262" t="s">
        <v>336</v>
      </c>
      <c r="E37" s="296">
        <v>150</v>
      </c>
      <c r="F37" s="265"/>
      <c r="G37" s="265">
        <v>12</v>
      </c>
      <c r="H37" s="262"/>
      <c r="I37" s="266">
        <f>$G$6/15*G37</f>
        <v>356</v>
      </c>
      <c r="J37" s="267" t="s">
        <v>4</v>
      </c>
      <c r="K37" s="262"/>
      <c r="L37" s="265">
        <f>L19</f>
        <v>67.438477199999994</v>
      </c>
      <c r="M37" s="262"/>
      <c r="N37" s="282">
        <f>I37*L37</f>
        <v>24008.097883199996</v>
      </c>
      <c r="O37" s="277"/>
    </row>
    <row r="38" spans="1:18">
      <c r="A38" s="273"/>
      <c r="B38" s="262"/>
      <c r="C38" s="262"/>
      <c r="D38" s="262"/>
      <c r="E38" s="296"/>
      <c r="F38" s="265"/>
      <c r="G38" s="265"/>
      <c r="H38" s="262"/>
      <c r="I38" s="266"/>
      <c r="J38" s="267"/>
      <c r="K38" s="262"/>
      <c r="L38" s="265"/>
      <c r="M38" s="262"/>
      <c r="N38" s="282"/>
      <c r="O38" s="277"/>
    </row>
    <row r="39" spans="1:18">
      <c r="A39" s="273"/>
      <c r="B39" s="262"/>
      <c r="C39" s="262"/>
      <c r="D39" s="262" t="s">
        <v>337</v>
      </c>
      <c r="E39" s="296"/>
      <c r="F39" s="265"/>
      <c r="G39" s="265">
        <v>1</v>
      </c>
      <c r="H39" s="262"/>
      <c r="I39" s="266">
        <f>I42</f>
        <v>29.666666666666668</v>
      </c>
      <c r="J39" s="267" t="s">
        <v>19</v>
      </c>
      <c r="K39" s="262"/>
      <c r="L39" s="265">
        <f>L21</f>
        <v>25</v>
      </c>
      <c r="M39" s="262"/>
      <c r="N39" s="282">
        <f>I39*L39</f>
        <v>741.66666666666674</v>
      </c>
      <c r="O39" s="277"/>
    </row>
    <row r="40" spans="1:18">
      <c r="A40" s="273"/>
      <c r="B40" s="262"/>
      <c r="C40" s="262"/>
      <c r="D40" s="262"/>
      <c r="E40" s="296"/>
      <c r="F40" s="265"/>
      <c r="G40" s="265"/>
      <c r="H40" s="262"/>
      <c r="I40" s="266"/>
      <c r="J40" s="267"/>
      <c r="K40" s="262"/>
      <c r="L40" s="265"/>
      <c r="M40" s="262"/>
      <c r="N40" s="282"/>
      <c r="O40" s="277"/>
    </row>
    <row r="41" spans="1:18">
      <c r="A41" s="273"/>
      <c r="B41" s="262"/>
      <c r="C41" s="262"/>
      <c r="D41" s="262"/>
      <c r="E41" s="296"/>
      <c r="F41" s="265"/>
      <c r="G41" s="265"/>
      <c r="H41" s="262"/>
      <c r="I41" s="266"/>
      <c r="J41" s="267"/>
      <c r="K41" s="262"/>
      <c r="L41" s="265"/>
      <c r="M41" s="262"/>
      <c r="N41" s="282"/>
      <c r="O41" s="277"/>
    </row>
    <row r="42" spans="1:18">
      <c r="A42" s="273"/>
      <c r="B42" s="262"/>
      <c r="C42" s="262" t="s">
        <v>348</v>
      </c>
      <c r="D42" s="262"/>
      <c r="E42" s="296"/>
      <c r="F42" s="265"/>
      <c r="G42" s="265">
        <v>1</v>
      </c>
      <c r="H42" s="262"/>
      <c r="I42" s="266">
        <f>$G$6/15</f>
        <v>29.666666666666668</v>
      </c>
      <c r="J42" s="267" t="s">
        <v>19</v>
      </c>
      <c r="K42" s="262"/>
      <c r="L42" s="744">
        <v>350</v>
      </c>
      <c r="M42" s="262"/>
      <c r="N42" s="282">
        <f t="shared" si="0"/>
        <v>10383.333333333334</v>
      </c>
      <c r="O42" s="277"/>
    </row>
    <row r="43" spans="1:18">
      <c r="A43" s="273"/>
      <c r="B43" s="262"/>
      <c r="C43" s="262" t="s">
        <v>338</v>
      </c>
      <c r="D43" s="262"/>
      <c r="E43" s="296"/>
      <c r="F43" s="265"/>
      <c r="G43" s="265"/>
      <c r="H43" s="262"/>
      <c r="I43" s="266"/>
      <c r="J43" s="267"/>
      <c r="K43" s="262"/>
      <c r="L43" s="265"/>
      <c r="M43" s="262"/>
      <c r="N43" s="282"/>
      <c r="O43" s="277"/>
    </row>
    <row r="44" spans="1:18">
      <c r="A44" s="273"/>
      <c r="B44" s="262"/>
      <c r="C44" s="262"/>
      <c r="D44" s="262" t="s">
        <v>339</v>
      </c>
      <c r="E44" s="296"/>
      <c r="F44" s="265"/>
      <c r="G44" s="265">
        <v>1</v>
      </c>
      <c r="H44" s="262"/>
      <c r="I44" s="266">
        <f>I42</f>
        <v>29.666666666666668</v>
      </c>
      <c r="J44" s="267" t="s">
        <v>19</v>
      </c>
      <c r="K44" s="262"/>
      <c r="L44" s="744">
        <v>55</v>
      </c>
      <c r="M44" s="262"/>
      <c r="N44" s="282">
        <f>I44*L44</f>
        <v>1631.6666666666667</v>
      </c>
      <c r="O44" s="277"/>
    </row>
    <row r="45" spans="1:18">
      <c r="A45" s="273"/>
      <c r="B45" s="262"/>
      <c r="C45" s="262"/>
      <c r="D45" s="262" t="s">
        <v>340</v>
      </c>
      <c r="E45" s="296"/>
      <c r="F45" s="265"/>
      <c r="G45" s="265">
        <v>1</v>
      </c>
      <c r="H45" s="262"/>
      <c r="I45" s="266">
        <f>I42</f>
        <v>29.666666666666668</v>
      </c>
      <c r="J45" s="267" t="s">
        <v>19</v>
      </c>
      <c r="K45" s="262"/>
      <c r="L45" s="744">
        <v>85</v>
      </c>
      <c r="M45" s="262"/>
      <c r="N45" s="282">
        <f>I45*L45</f>
        <v>2521.666666666667</v>
      </c>
      <c r="O45" s="277"/>
    </row>
    <row r="46" spans="1:18">
      <c r="A46" s="273"/>
      <c r="B46" s="262"/>
      <c r="C46" s="262"/>
      <c r="D46" s="262" t="s">
        <v>341</v>
      </c>
      <c r="E46" s="296"/>
      <c r="F46" s="265"/>
      <c r="G46" s="265"/>
      <c r="H46" s="262"/>
      <c r="I46" s="266"/>
      <c r="J46" s="267" t="s">
        <v>19</v>
      </c>
      <c r="K46" s="262"/>
      <c r="L46" s="265"/>
      <c r="M46" s="262"/>
      <c r="N46" s="282">
        <f>I46*L46</f>
        <v>0</v>
      </c>
      <c r="O46" s="277"/>
    </row>
    <row r="47" spans="1:18">
      <c r="A47" s="273"/>
      <c r="B47" s="262"/>
      <c r="C47" s="262"/>
      <c r="D47" s="262"/>
      <c r="E47" s="296"/>
      <c r="F47" s="265"/>
      <c r="G47" s="265"/>
      <c r="H47" s="262"/>
      <c r="I47" s="266"/>
      <c r="J47" s="267"/>
      <c r="K47" s="262"/>
      <c r="L47" s="265"/>
      <c r="M47" s="262"/>
      <c r="N47" s="282"/>
      <c r="O47" s="277"/>
    </row>
    <row r="48" spans="1:18">
      <c r="A48" s="273"/>
      <c r="B48" s="262"/>
      <c r="C48" s="262" t="s">
        <v>349</v>
      </c>
      <c r="D48" s="262"/>
      <c r="E48" s="296"/>
      <c r="F48" s="265"/>
      <c r="G48" s="265"/>
      <c r="H48" s="262"/>
      <c r="I48" s="266">
        <f>I19*0.45*2</f>
        <v>694.2</v>
      </c>
      <c r="J48" s="267" t="s">
        <v>18</v>
      </c>
      <c r="K48" s="262"/>
      <c r="L48" s="744">
        <v>16.600000000000001</v>
      </c>
      <c r="M48" s="262"/>
      <c r="N48" s="282">
        <f>I48*L48</f>
        <v>11523.720000000001</v>
      </c>
      <c r="O48" s="277"/>
    </row>
    <row r="49" spans="1:18">
      <c r="A49" s="273"/>
      <c r="B49" s="262"/>
      <c r="C49" s="262" t="s">
        <v>350</v>
      </c>
      <c r="D49" s="262"/>
      <c r="E49" s="296"/>
      <c r="F49" s="265"/>
      <c r="G49" s="265"/>
      <c r="H49" s="262"/>
      <c r="I49" s="266">
        <f>I48</f>
        <v>694.2</v>
      </c>
      <c r="J49" s="267" t="s">
        <v>18</v>
      </c>
      <c r="K49" s="262"/>
      <c r="L49" s="744">
        <v>15</v>
      </c>
      <c r="M49" s="262"/>
      <c r="N49" s="282">
        <f>I49*L49</f>
        <v>10413</v>
      </c>
      <c r="O49" s="277"/>
      <c r="Q49" s="86">
        <f>SUM(N37:N49)</f>
        <v>61223.151216533326</v>
      </c>
      <c r="R49" t="s">
        <v>788</v>
      </c>
    </row>
    <row r="50" spans="1:18">
      <c r="A50" s="273"/>
      <c r="B50" s="262"/>
      <c r="C50" s="262"/>
      <c r="D50" s="262"/>
      <c r="E50" s="296"/>
      <c r="F50" s="265"/>
      <c r="G50" s="265"/>
      <c r="H50" s="262"/>
      <c r="I50" s="266"/>
      <c r="J50" s="267"/>
      <c r="K50" s="262"/>
      <c r="L50" s="265"/>
      <c r="M50" s="262"/>
      <c r="N50" s="262"/>
      <c r="O50" s="277"/>
    </row>
    <row r="51" spans="1:18" ht="16" thickBot="1">
      <c r="A51" s="273"/>
      <c r="B51" s="262"/>
      <c r="C51" s="262"/>
      <c r="D51" s="262"/>
      <c r="E51" s="296"/>
      <c r="F51" s="265"/>
      <c r="G51" s="265"/>
      <c r="H51" s="262"/>
      <c r="I51" s="266"/>
      <c r="J51" s="267"/>
      <c r="K51" s="283"/>
      <c r="L51" s="284" t="s">
        <v>308</v>
      </c>
      <c r="M51" s="283" t="s">
        <v>309</v>
      </c>
      <c r="N51" s="285">
        <f>SUM(N11:N49)</f>
        <v>1001942.8705654666</v>
      </c>
      <c r="O51" s="277"/>
    </row>
    <row r="52" spans="1:18" ht="17" thickTop="1" thickBot="1">
      <c r="A52" s="286"/>
      <c r="B52" s="287"/>
      <c r="C52" s="287"/>
      <c r="D52" s="287"/>
      <c r="E52" s="300"/>
      <c r="F52" s="289"/>
      <c r="G52" s="289"/>
      <c r="H52" s="287"/>
      <c r="I52" s="290"/>
      <c r="J52" s="291"/>
      <c r="K52" s="287"/>
      <c r="L52" s="289"/>
      <c r="M52" s="287"/>
      <c r="N52" s="287"/>
      <c r="O52" s="292"/>
    </row>
    <row r="53" spans="1:18" hidden="1">
      <c r="A53" s="269"/>
      <c r="B53" s="270"/>
      <c r="C53" s="270"/>
      <c r="D53" s="270"/>
      <c r="E53" s="301"/>
      <c r="F53" s="294"/>
      <c r="G53" s="294"/>
      <c r="H53" s="270"/>
      <c r="I53" s="295"/>
      <c r="J53" s="271"/>
      <c r="K53" s="270"/>
      <c r="L53" s="294"/>
      <c r="M53" s="270"/>
      <c r="N53" s="270"/>
      <c r="O53" s="272"/>
    </row>
    <row r="54" spans="1:18" ht="15" hidden="1" customHeight="1">
      <c r="A54" s="273"/>
      <c r="B54" s="274" t="s">
        <v>351</v>
      </c>
      <c r="C54" s="275"/>
      <c r="D54" s="275"/>
      <c r="E54" s="298"/>
      <c r="F54" s="275"/>
      <c r="G54" s="262"/>
      <c r="H54" s="262"/>
      <c r="I54" s="266"/>
      <c r="J54" s="1175" t="s">
        <v>279</v>
      </c>
      <c r="K54" s="1176"/>
      <c r="L54" s="1176"/>
      <c r="M54" s="1177"/>
      <c r="N54" s="738" t="e">
        <f>N172/G55</f>
        <v>#DIV/0!</v>
      </c>
      <c r="O54" s="277"/>
    </row>
    <row r="55" spans="1:18" ht="15" hidden="1" customHeight="1">
      <c r="A55" s="273"/>
      <c r="B55" s="262"/>
      <c r="C55" s="278"/>
      <c r="D55" s="262"/>
      <c r="E55" s="1178" t="s">
        <v>252</v>
      </c>
      <c r="F55" s="1179"/>
      <c r="G55" s="750">
        <v>0</v>
      </c>
      <c r="H55" s="262" t="s">
        <v>4</v>
      </c>
      <c r="I55" s="262"/>
      <c r="J55" s="262"/>
      <c r="K55" s="262"/>
      <c r="L55" s="262"/>
      <c r="M55" s="262"/>
      <c r="N55" s="262"/>
      <c r="O55" s="277"/>
    </row>
    <row r="56" spans="1:18" hidden="1">
      <c r="A56" s="273"/>
      <c r="B56" s="262"/>
      <c r="C56" s="262" t="s">
        <v>335</v>
      </c>
      <c r="D56" s="262"/>
      <c r="E56" s="296"/>
      <c r="F56" s="280"/>
      <c r="G56" s="280"/>
      <c r="H56" s="262"/>
      <c r="I56" s="281"/>
      <c r="J56" s="267"/>
      <c r="K56" s="267"/>
      <c r="L56" s="280"/>
      <c r="M56" s="262"/>
      <c r="N56" s="267"/>
      <c r="O56" s="277"/>
    </row>
    <row r="57" spans="1:18" hidden="1">
      <c r="A57" s="273"/>
      <c r="B57" s="262"/>
      <c r="C57" s="262"/>
      <c r="D57" s="262" t="s">
        <v>336</v>
      </c>
      <c r="E57" s="296">
        <v>150</v>
      </c>
      <c r="F57" s="265"/>
      <c r="G57" s="265"/>
      <c r="H57" s="262"/>
      <c r="I57" s="266"/>
      <c r="J57" s="267" t="s">
        <v>4</v>
      </c>
      <c r="K57" s="262"/>
      <c r="L57" s="265">
        <v>62</v>
      </c>
      <c r="M57" s="262"/>
      <c r="N57" s="282">
        <f>I57*L57</f>
        <v>0</v>
      </c>
      <c r="O57" s="277"/>
    </row>
    <row r="58" spans="1:18" hidden="1">
      <c r="A58" s="273"/>
      <c r="B58" s="262"/>
      <c r="C58" s="262"/>
      <c r="D58" s="262" t="s">
        <v>352</v>
      </c>
      <c r="E58" s="296">
        <v>150</v>
      </c>
      <c r="F58" s="265"/>
      <c r="G58" s="265"/>
      <c r="H58" s="262"/>
      <c r="I58" s="266">
        <f>G55*0.2</f>
        <v>0</v>
      </c>
      <c r="J58" s="267" t="s">
        <v>4</v>
      </c>
      <c r="K58" s="262"/>
      <c r="L58" s="265">
        <v>105</v>
      </c>
      <c r="M58" s="262"/>
      <c r="N58" s="282">
        <f>I58*L58</f>
        <v>0</v>
      </c>
      <c r="O58" s="277"/>
    </row>
    <row r="59" spans="1:18" hidden="1">
      <c r="A59" s="273"/>
      <c r="B59" s="262"/>
      <c r="C59" s="262"/>
      <c r="D59" s="262" t="s">
        <v>353</v>
      </c>
      <c r="E59" s="296">
        <v>150</v>
      </c>
      <c r="F59" s="265"/>
      <c r="G59" s="265"/>
      <c r="H59" s="262"/>
      <c r="I59" s="266"/>
      <c r="J59" s="267" t="s">
        <v>4</v>
      </c>
      <c r="K59" s="262"/>
      <c r="L59" s="265">
        <v>166</v>
      </c>
      <c r="M59" s="262"/>
      <c r="N59" s="282">
        <f>I59*L59</f>
        <v>0</v>
      </c>
      <c r="O59" s="277"/>
    </row>
    <row r="60" spans="1:18" hidden="1">
      <c r="A60" s="273"/>
      <c r="B60" s="262"/>
      <c r="C60" s="262"/>
      <c r="D60" s="262" t="s">
        <v>354</v>
      </c>
      <c r="E60" s="296">
        <v>150</v>
      </c>
      <c r="F60" s="265"/>
      <c r="G60" s="265"/>
      <c r="H60" s="262"/>
      <c r="I60" s="266"/>
      <c r="J60" s="267" t="s">
        <v>4</v>
      </c>
      <c r="K60" s="262"/>
      <c r="L60" s="265">
        <v>213</v>
      </c>
      <c r="M60" s="262"/>
      <c r="N60" s="282">
        <f>I60*L60</f>
        <v>0</v>
      </c>
      <c r="O60" s="277"/>
    </row>
    <row r="61" spans="1:18" hidden="1">
      <c r="A61" s="273"/>
      <c r="B61" s="262"/>
      <c r="C61" s="262"/>
      <c r="D61" s="262"/>
      <c r="E61" s="296"/>
      <c r="F61" s="265"/>
      <c r="G61" s="265"/>
      <c r="H61" s="262"/>
      <c r="I61" s="266"/>
      <c r="J61" s="267"/>
      <c r="K61" s="262"/>
      <c r="L61" s="265"/>
      <c r="M61" s="262"/>
      <c r="N61" s="282"/>
      <c r="O61" s="277"/>
    </row>
    <row r="62" spans="1:18" hidden="1">
      <c r="A62" s="273"/>
      <c r="B62" s="262"/>
      <c r="C62" s="262" t="s">
        <v>335</v>
      </c>
      <c r="D62" s="262"/>
      <c r="E62" s="296"/>
      <c r="F62" s="265"/>
      <c r="G62" s="265"/>
      <c r="H62" s="262"/>
      <c r="I62" s="266"/>
      <c r="J62" s="267"/>
      <c r="K62" s="262"/>
      <c r="L62" s="265"/>
      <c r="M62" s="262"/>
      <c r="N62" s="282"/>
      <c r="O62" s="277"/>
    </row>
    <row r="63" spans="1:18" hidden="1">
      <c r="A63" s="273"/>
      <c r="B63" s="262"/>
      <c r="C63" s="262"/>
      <c r="D63" s="262" t="s">
        <v>336</v>
      </c>
      <c r="E63" s="296">
        <v>225</v>
      </c>
      <c r="F63" s="265"/>
      <c r="G63" s="265"/>
      <c r="H63" s="262"/>
      <c r="I63" s="266"/>
      <c r="J63" s="267" t="s">
        <v>4</v>
      </c>
      <c r="K63" s="262"/>
      <c r="L63" s="265">
        <v>80</v>
      </c>
      <c r="M63" s="262"/>
      <c r="N63" s="282">
        <f>I63*L63</f>
        <v>0</v>
      </c>
      <c r="O63" s="277"/>
    </row>
    <row r="64" spans="1:18" hidden="1">
      <c r="A64" s="273"/>
      <c r="B64" s="262"/>
      <c r="C64" s="262"/>
      <c r="D64" s="262" t="s">
        <v>352</v>
      </c>
      <c r="E64" s="296">
        <v>225</v>
      </c>
      <c r="F64" s="265"/>
      <c r="G64" s="265"/>
      <c r="H64" s="262"/>
      <c r="I64" s="266">
        <f>G55*0.4</f>
        <v>0</v>
      </c>
      <c r="J64" s="267" t="s">
        <v>4</v>
      </c>
      <c r="K64" s="262"/>
      <c r="L64" s="265">
        <v>120</v>
      </c>
      <c r="M64" s="262"/>
      <c r="N64" s="282">
        <f>I64*L64</f>
        <v>0</v>
      </c>
      <c r="O64" s="277"/>
    </row>
    <row r="65" spans="1:15" hidden="1">
      <c r="A65" s="273"/>
      <c r="B65" s="262"/>
      <c r="C65" s="262"/>
      <c r="D65" s="262" t="s">
        <v>353</v>
      </c>
      <c r="E65" s="296">
        <v>225</v>
      </c>
      <c r="F65" s="265"/>
      <c r="G65" s="265"/>
      <c r="H65" s="262"/>
      <c r="I65" s="266"/>
      <c r="J65" s="267" t="s">
        <v>4</v>
      </c>
      <c r="K65" s="262"/>
      <c r="L65" s="265">
        <v>180</v>
      </c>
      <c r="M65" s="262"/>
      <c r="N65" s="282">
        <f>I65*L65</f>
        <v>0</v>
      </c>
      <c r="O65" s="277"/>
    </row>
    <row r="66" spans="1:15" hidden="1">
      <c r="A66" s="273"/>
      <c r="B66" s="262"/>
      <c r="C66" s="262"/>
      <c r="D66" s="262" t="s">
        <v>354</v>
      </c>
      <c r="E66" s="296">
        <v>225</v>
      </c>
      <c r="F66" s="265"/>
      <c r="G66" s="265"/>
      <c r="H66" s="262"/>
      <c r="I66" s="266"/>
      <c r="J66" s="267" t="s">
        <v>4</v>
      </c>
      <c r="K66" s="262"/>
      <c r="L66" s="265">
        <v>240</v>
      </c>
      <c r="M66" s="262"/>
      <c r="N66" s="282">
        <f>I66*L66</f>
        <v>0</v>
      </c>
      <c r="O66" s="277"/>
    </row>
    <row r="67" spans="1:15" hidden="1">
      <c r="A67" s="273"/>
      <c r="B67" s="262"/>
      <c r="C67" s="262"/>
      <c r="D67" s="262"/>
      <c r="E67" s="296"/>
      <c r="F67" s="265"/>
      <c r="G67" s="265"/>
      <c r="H67" s="262"/>
      <c r="I67" s="266"/>
      <c r="J67" s="267"/>
      <c r="K67" s="262"/>
      <c r="L67" s="265"/>
      <c r="M67" s="262"/>
      <c r="N67" s="282"/>
      <c r="O67" s="277"/>
    </row>
    <row r="68" spans="1:15" hidden="1">
      <c r="A68" s="273"/>
      <c r="B68" s="262"/>
      <c r="C68" s="262" t="s">
        <v>335</v>
      </c>
      <c r="D68" s="262"/>
      <c r="E68" s="296"/>
      <c r="F68" s="265"/>
      <c r="G68" s="265"/>
      <c r="H68" s="262"/>
      <c r="I68" s="266"/>
      <c r="J68" s="267"/>
      <c r="K68" s="262"/>
      <c r="L68" s="265"/>
      <c r="M68" s="262"/>
      <c r="N68" s="282"/>
      <c r="O68" s="277"/>
    </row>
    <row r="69" spans="1:15" hidden="1">
      <c r="A69" s="273"/>
      <c r="B69" s="262"/>
      <c r="C69" s="262"/>
      <c r="D69" s="262" t="s">
        <v>336</v>
      </c>
      <c r="E69" s="296">
        <v>300</v>
      </c>
      <c r="F69" s="265"/>
      <c r="G69" s="265"/>
      <c r="H69" s="262"/>
      <c r="I69" s="266"/>
      <c r="J69" s="267" t="s">
        <v>4</v>
      </c>
      <c r="K69" s="262"/>
      <c r="L69" s="265">
        <v>95</v>
      </c>
      <c r="M69" s="262"/>
      <c r="N69" s="282">
        <f>I69*L69</f>
        <v>0</v>
      </c>
      <c r="O69" s="277"/>
    </row>
    <row r="70" spans="1:15" hidden="1">
      <c r="A70" s="273"/>
      <c r="B70" s="262"/>
      <c r="C70" s="262"/>
      <c r="D70" s="262" t="s">
        <v>352</v>
      </c>
      <c r="E70" s="296">
        <v>300</v>
      </c>
      <c r="F70" s="265"/>
      <c r="G70" s="265"/>
      <c r="H70" s="262"/>
      <c r="I70" s="266"/>
      <c r="J70" s="267" t="s">
        <v>4</v>
      </c>
      <c r="K70" s="262"/>
      <c r="L70" s="265">
        <v>134</v>
      </c>
      <c r="M70" s="262"/>
      <c r="N70" s="282">
        <f>I70*L70</f>
        <v>0</v>
      </c>
      <c r="O70" s="277"/>
    </row>
    <row r="71" spans="1:15" hidden="1">
      <c r="A71" s="273"/>
      <c r="B71" s="262"/>
      <c r="C71" s="262"/>
      <c r="D71" s="262" t="s">
        <v>353</v>
      </c>
      <c r="E71" s="296">
        <v>300</v>
      </c>
      <c r="F71" s="265"/>
      <c r="G71" s="265"/>
      <c r="H71" s="262"/>
      <c r="I71" s="266"/>
      <c r="J71" s="267" t="s">
        <v>4</v>
      </c>
      <c r="K71" s="262"/>
      <c r="L71" s="265">
        <v>182</v>
      </c>
      <c r="M71" s="262"/>
      <c r="N71" s="282">
        <f>I71*L71</f>
        <v>0</v>
      </c>
      <c r="O71" s="277"/>
    </row>
    <row r="72" spans="1:15" hidden="1">
      <c r="A72" s="273"/>
      <c r="B72" s="262"/>
      <c r="C72" s="262"/>
      <c r="D72" s="262" t="s">
        <v>354</v>
      </c>
      <c r="E72" s="296">
        <v>300</v>
      </c>
      <c r="F72" s="265"/>
      <c r="G72" s="265"/>
      <c r="H72" s="262"/>
      <c r="I72" s="266"/>
      <c r="J72" s="267" t="s">
        <v>4</v>
      </c>
      <c r="K72" s="262"/>
      <c r="L72" s="265">
        <v>234</v>
      </c>
      <c r="M72" s="262"/>
      <c r="N72" s="282">
        <f>I72*L72</f>
        <v>0</v>
      </c>
      <c r="O72" s="277"/>
    </row>
    <row r="73" spans="1:15" hidden="1">
      <c r="A73" s="273"/>
      <c r="B73" s="262"/>
      <c r="C73" s="262"/>
      <c r="D73" s="262"/>
      <c r="E73" s="296"/>
      <c r="F73" s="265"/>
      <c r="G73" s="265"/>
      <c r="H73" s="262"/>
      <c r="I73" s="266"/>
      <c r="J73" s="267"/>
      <c r="K73" s="262"/>
      <c r="L73" s="265"/>
      <c r="M73" s="262"/>
      <c r="N73" s="282"/>
      <c r="O73" s="277"/>
    </row>
    <row r="74" spans="1:15" hidden="1">
      <c r="A74" s="273"/>
      <c r="B74" s="262"/>
      <c r="C74" s="262" t="s">
        <v>335</v>
      </c>
      <c r="D74" s="262"/>
      <c r="E74" s="296"/>
      <c r="F74" s="265"/>
      <c r="G74" s="265"/>
      <c r="H74" s="262"/>
      <c r="I74" s="266"/>
      <c r="J74" s="267"/>
      <c r="K74" s="262"/>
      <c r="L74" s="265"/>
      <c r="M74" s="262"/>
      <c r="N74" s="282"/>
      <c r="O74" s="277"/>
    </row>
    <row r="75" spans="1:15" hidden="1">
      <c r="A75" s="273"/>
      <c r="B75" s="262"/>
      <c r="C75" s="262"/>
      <c r="D75" s="262" t="s">
        <v>336</v>
      </c>
      <c r="E75" s="296">
        <v>375</v>
      </c>
      <c r="F75" s="265"/>
      <c r="G75" s="265"/>
      <c r="H75" s="262"/>
      <c r="I75" s="266"/>
      <c r="J75" s="267" t="s">
        <v>4</v>
      </c>
      <c r="K75" s="262"/>
      <c r="L75" s="265">
        <v>107</v>
      </c>
      <c r="M75" s="262"/>
      <c r="N75" s="282">
        <f>I75*L75</f>
        <v>0</v>
      </c>
      <c r="O75" s="277"/>
    </row>
    <row r="76" spans="1:15" hidden="1">
      <c r="A76" s="273"/>
      <c r="B76" s="262"/>
      <c r="C76" s="262"/>
      <c r="D76" s="262" t="s">
        <v>352</v>
      </c>
      <c r="E76" s="296">
        <v>375</v>
      </c>
      <c r="F76" s="265"/>
      <c r="G76" s="265"/>
      <c r="H76" s="262"/>
      <c r="I76" s="266">
        <f>G55*0.2</f>
        <v>0</v>
      </c>
      <c r="J76" s="267" t="s">
        <v>4</v>
      </c>
      <c r="K76" s="262"/>
      <c r="L76" s="265">
        <v>146</v>
      </c>
      <c r="M76" s="262"/>
      <c r="N76" s="282">
        <f>I76*L76</f>
        <v>0</v>
      </c>
      <c r="O76" s="277"/>
    </row>
    <row r="77" spans="1:15" hidden="1">
      <c r="A77" s="273"/>
      <c r="B77" s="262"/>
      <c r="C77" s="262"/>
      <c r="D77" s="262" t="s">
        <v>353</v>
      </c>
      <c r="E77" s="296">
        <v>375</v>
      </c>
      <c r="F77" s="265"/>
      <c r="G77" s="265"/>
      <c r="H77" s="262"/>
      <c r="I77" s="266"/>
      <c r="J77" s="267" t="s">
        <v>4</v>
      </c>
      <c r="K77" s="262"/>
      <c r="L77" s="265">
        <v>194</v>
      </c>
      <c r="M77" s="262"/>
      <c r="N77" s="282">
        <f>I77*L77</f>
        <v>0</v>
      </c>
      <c r="O77" s="277"/>
    </row>
    <row r="78" spans="1:15" hidden="1">
      <c r="A78" s="273"/>
      <c r="B78" s="262"/>
      <c r="C78" s="262"/>
      <c r="D78" s="262" t="s">
        <v>354</v>
      </c>
      <c r="E78" s="296">
        <v>375</v>
      </c>
      <c r="F78" s="265"/>
      <c r="G78" s="265"/>
      <c r="H78" s="262"/>
      <c r="I78" s="266"/>
      <c r="J78" s="267" t="s">
        <v>4</v>
      </c>
      <c r="K78" s="262"/>
      <c r="L78" s="265">
        <v>246</v>
      </c>
      <c r="M78" s="262"/>
      <c r="N78" s="282">
        <f>I78*L78</f>
        <v>0</v>
      </c>
      <c r="O78" s="277"/>
    </row>
    <row r="79" spans="1:15" hidden="1">
      <c r="A79" s="273"/>
      <c r="B79" s="262"/>
      <c r="C79" s="262"/>
      <c r="D79" s="262"/>
      <c r="E79" s="296"/>
      <c r="F79" s="265"/>
      <c r="G79" s="265"/>
      <c r="H79" s="262"/>
      <c r="I79" s="266"/>
      <c r="J79" s="267"/>
      <c r="K79" s="262"/>
      <c r="L79" s="265"/>
      <c r="M79" s="262"/>
      <c r="N79" s="282"/>
      <c r="O79" s="277"/>
    </row>
    <row r="80" spans="1:15" hidden="1">
      <c r="A80" s="273"/>
      <c r="B80" s="262"/>
      <c r="C80" s="262" t="s">
        <v>335</v>
      </c>
      <c r="D80" s="262"/>
      <c r="E80" s="296"/>
      <c r="F80" s="265"/>
      <c r="G80" s="265"/>
      <c r="H80" s="262"/>
      <c r="I80" s="266"/>
      <c r="J80" s="267"/>
      <c r="K80" s="262"/>
      <c r="L80" s="265"/>
      <c r="M80" s="262"/>
      <c r="N80" s="282"/>
      <c r="O80" s="277"/>
    </row>
    <row r="81" spans="1:15" hidden="1">
      <c r="A81" s="273"/>
      <c r="B81" s="262"/>
      <c r="C81" s="262"/>
      <c r="D81" s="262" t="s">
        <v>336</v>
      </c>
      <c r="E81" s="296">
        <v>450</v>
      </c>
      <c r="F81" s="265"/>
      <c r="G81" s="265"/>
      <c r="H81" s="262"/>
      <c r="I81" s="266"/>
      <c r="J81" s="267" t="s">
        <v>4</v>
      </c>
      <c r="K81" s="262"/>
      <c r="L81" s="265">
        <v>121</v>
      </c>
      <c r="M81" s="262"/>
      <c r="N81" s="282">
        <f>I81*L81</f>
        <v>0</v>
      </c>
      <c r="O81" s="277"/>
    </row>
    <row r="82" spans="1:15" hidden="1">
      <c r="A82" s="273"/>
      <c r="B82" s="262"/>
      <c r="C82" s="262"/>
      <c r="D82" s="262" t="s">
        <v>352</v>
      </c>
      <c r="E82" s="296">
        <v>450</v>
      </c>
      <c r="F82" s="265"/>
      <c r="G82" s="265"/>
      <c r="H82" s="262"/>
      <c r="I82" s="266"/>
      <c r="J82" s="267" t="s">
        <v>4</v>
      </c>
      <c r="K82" s="262"/>
      <c r="L82" s="265">
        <v>160</v>
      </c>
      <c r="M82" s="262"/>
      <c r="N82" s="282">
        <f>I82*L82</f>
        <v>0</v>
      </c>
      <c r="O82" s="277"/>
    </row>
    <row r="83" spans="1:15" hidden="1">
      <c r="A83" s="273"/>
      <c r="B83" s="262"/>
      <c r="C83" s="262"/>
      <c r="D83" s="262" t="s">
        <v>353</v>
      </c>
      <c r="E83" s="296">
        <v>450</v>
      </c>
      <c r="F83" s="265"/>
      <c r="G83" s="265"/>
      <c r="H83" s="262"/>
      <c r="I83" s="266">
        <f>G55*0.2</f>
        <v>0</v>
      </c>
      <c r="J83" s="267" t="s">
        <v>4</v>
      </c>
      <c r="K83" s="262"/>
      <c r="L83" s="265">
        <v>208</v>
      </c>
      <c r="M83" s="262"/>
      <c r="N83" s="282">
        <f>I83*L83</f>
        <v>0</v>
      </c>
      <c r="O83" s="277"/>
    </row>
    <row r="84" spans="1:15" hidden="1">
      <c r="A84" s="273"/>
      <c r="B84" s="262"/>
      <c r="C84" s="262"/>
      <c r="D84" s="262" t="s">
        <v>354</v>
      </c>
      <c r="E84" s="296">
        <v>450</v>
      </c>
      <c r="F84" s="265"/>
      <c r="G84" s="265"/>
      <c r="H84" s="262"/>
      <c r="I84" s="266"/>
      <c r="J84" s="267" t="s">
        <v>4</v>
      </c>
      <c r="K84" s="262"/>
      <c r="L84" s="265">
        <v>260</v>
      </c>
      <c r="M84" s="262"/>
      <c r="N84" s="282">
        <f>I84*L84</f>
        <v>0</v>
      </c>
      <c r="O84" s="277"/>
    </row>
    <row r="85" spans="1:15" hidden="1">
      <c r="A85" s="273"/>
      <c r="B85" s="262"/>
      <c r="C85" s="262"/>
      <c r="D85" s="262"/>
      <c r="E85" s="296"/>
      <c r="F85" s="265"/>
      <c r="G85" s="265"/>
      <c r="H85" s="262"/>
      <c r="I85" s="266"/>
      <c r="J85" s="267"/>
      <c r="K85" s="262"/>
      <c r="L85" s="265"/>
      <c r="M85" s="262"/>
      <c r="N85" s="282"/>
      <c r="O85" s="277"/>
    </row>
    <row r="86" spans="1:15" hidden="1">
      <c r="A86" s="273"/>
      <c r="B86" s="262"/>
      <c r="C86" s="262" t="s">
        <v>335</v>
      </c>
      <c r="D86" s="262"/>
      <c r="E86" s="296"/>
      <c r="F86" s="265"/>
      <c r="G86" s="265"/>
      <c r="H86" s="262"/>
      <c r="I86" s="266"/>
      <c r="J86" s="267"/>
      <c r="K86" s="262"/>
      <c r="L86" s="265"/>
      <c r="M86" s="262"/>
      <c r="N86" s="282"/>
      <c r="O86" s="277"/>
    </row>
    <row r="87" spans="1:15" hidden="1">
      <c r="A87" s="273"/>
      <c r="B87" s="262"/>
      <c r="C87" s="262"/>
      <c r="D87" s="262" t="s">
        <v>336</v>
      </c>
      <c r="E87" s="296">
        <v>525</v>
      </c>
      <c r="F87" s="265"/>
      <c r="G87" s="265"/>
      <c r="H87" s="262"/>
      <c r="I87" s="266"/>
      <c r="J87" s="267" t="s">
        <v>4</v>
      </c>
      <c r="K87" s="262"/>
      <c r="L87" s="265">
        <v>137</v>
      </c>
      <c r="M87" s="262"/>
      <c r="N87" s="282">
        <f>I87*L87</f>
        <v>0</v>
      </c>
      <c r="O87" s="277"/>
    </row>
    <row r="88" spans="1:15" hidden="1">
      <c r="A88" s="273"/>
      <c r="B88" s="262"/>
      <c r="C88" s="262"/>
      <c r="D88" s="262" t="s">
        <v>352</v>
      </c>
      <c r="E88" s="296">
        <v>525</v>
      </c>
      <c r="F88" s="265"/>
      <c r="G88" s="265"/>
      <c r="H88" s="262"/>
      <c r="I88" s="266"/>
      <c r="J88" s="267" t="s">
        <v>4</v>
      </c>
      <c r="K88" s="262"/>
      <c r="L88" s="265">
        <v>176</v>
      </c>
      <c r="M88" s="262"/>
      <c r="N88" s="282">
        <f>I88*L88</f>
        <v>0</v>
      </c>
      <c r="O88" s="277"/>
    </row>
    <row r="89" spans="1:15" hidden="1">
      <c r="A89" s="273"/>
      <c r="B89" s="262"/>
      <c r="C89" s="262"/>
      <c r="D89" s="262" t="s">
        <v>353</v>
      </c>
      <c r="E89" s="296">
        <v>525</v>
      </c>
      <c r="F89" s="265"/>
      <c r="G89" s="265"/>
      <c r="H89" s="262"/>
      <c r="I89" s="266"/>
      <c r="J89" s="267" t="s">
        <v>4</v>
      </c>
      <c r="K89" s="262"/>
      <c r="L89" s="265">
        <v>224</v>
      </c>
      <c r="M89" s="262"/>
      <c r="N89" s="282">
        <f>I89*L89</f>
        <v>0</v>
      </c>
      <c r="O89" s="277"/>
    </row>
    <row r="90" spans="1:15" hidden="1">
      <c r="A90" s="273"/>
      <c r="B90" s="262"/>
      <c r="C90" s="262"/>
      <c r="D90" s="262" t="s">
        <v>354</v>
      </c>
      <c r="E90" s="296">
        <v>525</v>
      </c>
      <c r="F90" s="265"/>
      <c r="G90" s="265"/>
      <c r="H90" s="262"/>
      <c r="I90" s="266"/>
      <c r="J90" s="267" t="s">
        <v>4</v>
      </c>
      <c r="K90" s="262"/>
      <c r="L90" s="265">
        <v>276</v>
      </c>
      <c r="M90" s="262"/>
      <c r="N90" s="282">
        <f>I90*L90</f>
        <v>0</v>
      </c>
      <c r="O90" s="277"/>
    </row>
    <row r="91" spans="1:15" hidden="1">
      <c r="A91" s="273"/>
      <c r="B91" s="262"/>
      <c r="C91" s="262"/>
      <c r="D91" s="262"/>
      <c r="E91" s="296"/>
      <c r="F91" s="265"/>
      <c r="G91" s="265"/>
      <c r="H91" s="262"/>
      <c r="I91" s="266"/>
      <c r="J91" s="267"/>
      <c r="K91" s="262"/>
      <c r="L91" s="265"/>
      <c r="M91" s="262"/>
      <c r="N91" s="282"/>
      <c r="O91" s="277"/>
    </row>
    <row r="92" spans="1:15" hidden="1">
      <c r="A92" s="273"/>
      <c r="B92" s="262"/>
      <c r="C92" s="262" t="s">
        <v>335</v>
      </c>
      <c r="D92" s="262"/>
      <c r="E92" s="296"/>
      <c r="F92" s="265"/>
      <c r="G92" s="265"/>
      <c r="H92" s="262"/>
      <c r="I92" s="266"/>
      <c r="J92" s="267"/>
      <c r="K92" s="262"/>
      <c r="L92" s="265"/>
      <c r="M92" s="262"/>
      <c r="N92" s="282"/>
      <c r="O92" s="277"/>
    </row>
    <row r="93" spans="1:15" hidden="1">
      <c r="A93" s="273"/>
      <c r="B93" s="262"/>
      <c r="C93" s="262"/>
      <c r="D93" s="262" t="s">
        <v>336</v>
      </c>
      <c r="E93" s="296">
        <v>600</v>
      </c>
      <c r="F93" s="265"/>
      <c r="G93" s="265"/>
      <c r="H93" s="262"/>
      <c r="I93" s="266"/>
      <c r="J93" s="267" t="s">
        <v>4</v>
      </c>
      <c r="K93" s="262"/>
      <c r="L93" s="265">
        <v>153</v>
      </c>
      <c r="M93" s="262"/>
      <c r="N93" s="282">
        <f>I93*L93</f>
        <v>0</v>
      </c>
      <c r="O93" s="277"/>
    </row>
    <row r="94" spans="1:15" hidden="1">
      <c r="A94" s="273"/>
      <c r="B94" s="262"/>
      <c r="C94" s="262"/>
      <c r="D94" s="262" t="s">
        <v>352</v>
      </c>
      <c r="E94" s="296">
        <v>600</v>
      </c>
      <c r="F94" s="265"/>
      <c r="G94" s="265"/>
      <c r="H94" s="262"/>
      <c r="I94" s="266"/>
      <c r="J94" s="267" t="s">
        <v>4</v>
      </c>
      <c r="K94" s="262"/>
      <c r="L94" s="265">
        <v>192</v>
      </c>
      <c r="M94" s="262"/>
      <c r="N94" s="282">
        <f>I94*L94</f>
        <v>0</v>
      </c>
      <c r="O94" s="277"/>
    </row>
    <row r="95" spans="1:15" hidden="1">
      <c r="A95" s="273"/>
      <c r="B95" s="262"/>
      <c r="C95" s="262"/>
      <c r="D95" s="262" t="s">
        <v>353</v>
      </c>
      <c r="E95" s="296">
        <v>600</v>
      </c>
      <c r="F95" s="265"/>
      <c r="G95" s="265"/>
      <c r="H95" s="262"/>
      <c r="I95" s="266"/>
      <c r="J95" s="267" t="s">
        <v>4</v>
      </c>
      <c r="K95" s="262"/>
      <c r="L95" s="265">
        <v>240</v>
      </c>
      <c r="M95" s="262"/>
      <c r="N95" s="282">
        <f>I95*L95</f>
        <v>0</v>
      </c>
      <c r="O95" s="277"/>
    </row>
    <row r="96" spans="1:15" hidden="1">
      <c r="A96" s="273"/>
      <c r="B96" s="262"/>
      <c r="C96" s="262"/>
      <c r="D96" s="262" t="s">
        <v>354</v>
      </c>
      <c r="E96" s="296">
        <v>600</v>
      </c>
      <c r="F96" s="265"/>
      <c r="G96" s="265"/>
      <c r="H96" s="262"/>
      <c r="I96" s="266"/>
      <c r="J96" s="267" t="s">
        <v>4</v>
      </c>
      <c r="K96" s="262"/>
      <c r="L96" s="265">
        <v>292</v>
      </c>
      <c r="M96" s="262"/>
      <c r="N96" s="282">
        <f>I96*L96</f>
        <v>0</v>
      </c>
      <c r="O96" s="277"/>
    </row>
    <row r="97" spans="1:15" hidden="1">
      <c r="A97" s="273"/>
      <c r="B97" s="262"/>
      <c r="C97" s="262"/>
      <c r="D97" s="262"/>
      <c r="E97" s="296"/>
      <c r="F97" s="265"/>
      <c r="G97" s="265"/>
      <c r="H97" s="262"/>
      <c r="I97" s="266"/>
      <c r="J97" s="267"/>
      <c r="K97" s="262"/>
      <c r="L97" s="265"/>
      <c r="M97" s="262"/>
      <c r="N97" s="282"/>
      <c r="O97" s="277"/>
    </row>
    <row r="98" spans="1:15" hidden="1">
      <c r="A98" s="273"/>
      <c r="B98" s="262"/>
      <c r="C98" s="262" t="s">
        <v>335</v>
      </c>
      <c r="D98" s="262"/>
      <c r="E98" s="296"/>
      <c r="F98" s="265"/>
      <c r="G98" s="265"/>
      <c r="H98" s="262"/>
      <c r="I98" s="266"/>
      <c r="J98" s="267"/>
      <c r="K98" s="262"/>
      <c r="L98" s="265"/>
      <c r="M98" s="262"/>
      <c r="N98" s="282"/>
      <c r="O98" s="277"/>
    </row>
    <row r="99" spans="1:15" hidden="1">
      <c r="A99" s="273"/>
      <c r="B99" s="262"/>
      <c r="C99" s="262"/>
      <c r="D99" s="262" t="s">
        <v>336</v>
      </c>
      <c r="E99" s="296">
        <v>675</v>
      </c>
      <c r="F99" s="265"/>
      <c r="G99" s="265"/>
      <c r="H99" s="262"/>
      <c r="I99" s="266"/>
      <c r="J99" s="267" t="s">
        <v>4</v>
      </c>
      <c r="K99" s="262"/>
      <c r="L99" s="265">
        <v>171</v>
      </c>
      <c r="M99" s="262"/>
      <c r="N99" s="282">
        <f>I99*L99</f>
        <v>0</v>
      </c>
      <c r="O99" s="277"/>
    </row>
    <row r="100" spans="1:15" hidden="1">
      <c r="A100" s="273"/>
      <c r="B100" s="262"/>
      <c r="C100" s="262"/>
      <c r="D100" s="262" t="s">
        <v>352</v>
      </c>
      <c r="E100" s="296">
        <v>675</v>
      </c>
      <c r="F100" s="265"/>
      <c r="G100" s="265"/>
      <c r="H100" s="262"/>
      <c r="I100" s="266"/>
      <c r="J100" s="267" t="s">
        <v>4</v>
      </c>
      <c r="K100" s="262"/>
      <c r="L100" s="265">
        <v>210</v>
      </c>
      <c r="M100" s="262"/>
      <c r="N100" s="282">
        <f>I100*L100</f>
        <v>0</v>
      </c>
      <c r="O100" s="277"/>
    </row>
    <row r="101" spans="1:15" hidden="1">
      <c r="A101" s="273"/>
      <c r="B101" s="262"/>
      <c r="C101" s="262"/>
      <c r="D101" s="262" t="s">
        <v>353</v>
      </c>
      <c r="E101" s="296">
        <v>675</v>
      </c>
      <c r="F101" s="265"/>
      <c r="G101" s="265"/>
      <c r="H101" s="262"/>
      <c r="I101" s="266"/>
      <c r="J101" s="267" t="s">
        <v>4</v>
      </c>
      <c r="K101" s="262"/>
      <c r="L101" s="265">
        <v>258</v>
      </c>
      <c r="M101" s="262"/>
      <c r="N101" s="282">
        <f>I101*L101</f>
        <v>0</v>
      </c>
      <c r="O101" s="277"/>
    </row>
    <row r="102" spans="1:15" hidden="1">
      <c r="A102" s="273"/>
      <c r="B102" s="262"/>
      <c r="C102" s="262"/>
      <c r="D102" s="262" t="s">
        <v>354</v>
      </c>
      <c r="E102" s="296">
        <v>675</v>
      </c>
      <c r="F102" s="265"/>
      <c r="G102" s="265"/>
      <c r="H102" s="262"/>
      <c r="I102" s="266"/>
      <c r="J102" s="267" t="s">
        <v>4</v>
      </c>
      <c r="K102" s="262"/>
      <c r="L102" s="265">
        <v>310</v>
      </c>
      <c r="M102" s="262"/>
      <c r="N102" s="282">
        <f>I102*L102</f>
        <v>0</v>
      </c>
      <c r="O102" s="277"/>
    </row>
    <row r="103" spans="1:15" hidden="1">
      <c r="A103" s="273"/>
      <c r="B103" s="262"/>
      <c r="C103" s="262"/>
      <c r="D103" s="262"/>
      <c r="E103" s="296"/>
      <c r="F103" s="265"/>
      <c r="G103" s="265"/>
      <c r="H103" s="262"/>
      <c r="I103" s="266"/>
      <c r="J103" s="267"/>
      <c r="K103" s="262"/>
      <c r="L103" s="265"/>
      <c r="M103" s="262"/>
      <c r="N103" s="282"/>
      <c r="O103" s="277"/>
    </row>
    <row r="104" spans="1:15" hidden="1">
      <c r="A104" s="273"/>
      <c r="B104" s="262"/>
      <c r="C104" s="262" t="s">
        <v>335</v>
      </c>
      <c r="D104" s="262"/>
      <c r="E104" s="296"/>
      <c r="F104" s="265"/>
      <c r="G104" s="265"/>
      <c r="H104" s="262"/>
      <c r="I104" s="266"/>
      <c r="J104" s="267"/>
      <c r="K104" s="262"/>
      <c r="L104" s="265"/>
      <c r="M104" s="262"/>
      <c r="N104" s="282"/>
      <c r="O104" s="277"/>
    </row>
    <row r="105" spans="1:15" hidden="1">
      <c r="A105" s="273"/>
      <c r="B105" s="262"/>
      <c r="C105" s="262"/>
      <c r="D105" s="262" t="s">
        <v>336</v>
      </c>
      <c r="E105" s="296">
        <v>750</v>
      </c>
      <c r="F105" s="265"/>
      <c r="G105" s="265"/>
      <c r="H105" s="262"/>
      <c r="I105" s="266"/>
      <c r="J105" s="267" t="s">
        <v>4</v>
      </c>
      <c r="K105" s="262"/>
      <c r="L105" s="265">
        <v>195</v>
      </c>
      <c r="M105" s="262"/>
      <c r="N105" s="282">
        <f>I105*L105</f>
        <v>0</v>
      </c>
      <c r="O105" s="277"/>
    </row>
    <row r="106" spans="1:15" hidden="1">
      <c r="A106" s="273"/>
      <c r="B106" s="262"/>
      <c r="C106" s="262"/>
      <c r="D106" s="262" t="s">
        <v>352</v>
      </c>
      <c r="E106" s="296">
        <v>750</v>
      </c>
      <c r="F106" s="265"/>
      <c r="G106" s="265"/>
      <c r="H106" s="262"/>
      <c r="I106" s="266"/>
      <c r="J106" s="267" t="s">
        <v>4</v>
      </c>
      <c r="K106" s="262"/>
      <c r="L106" s="265">
        <v>240</v>
      </c>
      <c r="M106" s="262"/>
      <c r="N106" s="282">
        <f>I106*L106</f>
        <v>0</v>
      </c>
      <c r="O106" s="277"/>
    </row>
    <row r="107" spans="1:15" hidden="1">
      <c r="A107" s="273"/>
      <c r="B107" s="262"/>
      <c r="C107" s="262"/>
      <c r="D107" s="262" t="s">
        <v>353</v>
      </c>
      <c r="E107" s="296">
        <v>750</v>
      </c>
      <c r="F107" s="265"/>
      <c r="G107" s="265"/>
      <c r="H107" s="262"/>
      <c r="I107" s="266"/>
      <c r="J107" s="267" t="s">
        <v>4</v>
      </c>
      <c r="K107" s="262"/>
      <c r="L107" s="265">
        <v>300</v>
      </c>
      <c r="M107" s="262"/>
      <c r="N107" s="282">
        <f>I107*L107</f>
        <v>0</v>
      </c>
      <c r="O107" s="277"/>
    </row>
    <row r="108" spans="1:15" hidden="1">
      <c r="A108" s="273"/>
      <c r="B108" s="262"/>
      <c r="C108" s="262"/>
      <c r="D108" s="262" t="s">
        <v>354</v>
      </c>
      <c r="E108" s="296">
        <v>750</v>
      </c>
      <c r="F108" s="265"/>
      <c r="G108" s="265"/>
      <c r="H108" s="262"/>
      <c r="I108" s="266"/>
      <c r="J108" s="267" t="s">
        <v>4</v>
      </c>
      <c r="K108" s="262"/>
      <c r="L108" s="265">
        <v>354</v>
      </c>
      <c r="M108" s="262"/>
      <c r="N108" s="282">
        <f>I108*L108</f>
        <v>0</v>
      </c>
      <c r="O108" s="277"/>
    </row>
    <row r="109" spans="1:15" hidden="1">
      <c r="A109" s="273"/>
      <c r="B109" s="262"/>
      <c r="C109" s="262"/>
      <c r="D109" s="262"/>
      <c r="E109" s="296"/>
      <c r="F109" s="265"/>
      <c r="G109" s="265"/>
      <c r="H109" s="262"/>
      <c r="I109" s="266"/>
      <c r="J109" s="267"/>
      <c r="K109" s="262"/>
      <c r="L109" s="265"/>
      <c r="M109" s="262"/>
      <c r="N109" s="282"/>
      <c r="O109" s="277"/>
    </row>
    <row r="110" spans="1:15" hidden="1">
      <c r="A110" s="273"/>
      <c r="B110" s="262"/>
      <c r="C110" s="262" t="s">
        <v>335</v>
      </c>
      <c r="D110" s="262"/>
      <c r="E110" s="296"/>
      <c r="F110" s="265"/>
      <c r="G110" s="265"/>
      <c r="H110" s="262"/>
      <c r="I110" s="266"/>
      <c r="J110" s="267"/>
      <c r="K110" s="262"/>
      <c r="L110" s="265"/>
      <c r="M110" s="262"/>
      <c r="N110" s="282"/>
      <c r="O110" s="277"/>
    </row>
    <row r="111" spans="1:15" hidden="1">
      <c r="A111" s="273"/>
      <c r="B111" s="262"/>
      <c r="C111" s="262"/>
      <c r="D111" s="262" t="s">
        <v>336</v>
      </c>
      <c r="E111" s="296">
        <v>900</v>
      </c>
      <c r="F111" s="265"/>
      <c r="G111" s="265"/>
      <c r="H111" s="262"/>
      <c r="I111" s="266"/>
      <c r="J111" s="267" t="s">
        <v>4</v>
      </c>
      <c r="K111" s="262"/>
      <c r="L111" s="265">
        <v>270</v>
      </c>
      <c r="M111" s="262"/>
      <c r="N111" s="282">
        <f>I111*L111</f>
        <v>0</v>
      </c>
      <c r="O111" s="277"/>
    </row>
    <row r="112" spans="1:15" hidden="1">
      <c r="A112" s="273"/>
      <c r="B112" s="262"/>
      <c r="C112" s="262"/>
      <c r="D112" s="262" t="s">
        <v>352</v>
      </c>
      <c r="E112" s="296">
        <v>900</v>
      </c>
      <c r="F112" s="265"/>
      <c r="G112" s="265"/>
      <c r="H112" s="262"/>
      <c r="I112" s="266"/>
      <c r="J112" s="267" t="s">
        <v>4</v>
      </c>
      <c r="K112" s="262"/>
      <c r="L112" s="265">
        <v>320</v>
      </c>
      <c r="M112" s="262"/>
      <c r="N112" s="282">
        <f>I112*L112</f>
        <v>0</v>
      </c>
      <c r="O112" s="277"/>
    </row>
    <row r="113" spans="1:15" hidden="1">
      <c r="A113" s="273"/>
      <c r="B113" s="262"/>
      <c r="C113" s="262"/>
      <c r="D113" s="262" t="s">
        <v>353</v>
      </c>
      <c r="E113" s="296">
        <v>900</v>
      </c>
      <c r="F113" s="265"/>
      <c r="G113" s="265"/>
      <c r="H113" s="262"/>
      <c r="I113" s="266"/>
      <c r="J113" s="267" t="s">
        <v>4</v>
      </c>
      <c r="K113" s="262"/>
      <c r="L113" s="265">
        <v>380</v>
      </c>
      <c r="M113" s="262"/>
      <c r="N113" s="282">
        <f>I113*L113</f>
        <v>0</v>
      </c>
      <c r="O113" s="277"/>
    </row>
    <row r="114" spans="1:15" hidden="1">
      <c r="A114" s="273"/>
      <c r="B114" s="262"/>
      <c r="C114" s="262"/>
      <c r="D114" s="262" t="s">
        <v>354</v>
      </c>
      <c r="E114" s="296">
        <v>900</v>
      </c>
      <c r="F114" s="265"/>
      <c r="G114" s="265"/>
      <c r="H114" s="262"/>
      <c r="I114" s="266"/>
      <c r="J114" s="267" t="s">
        <v>4</v>
      </c>
      <c r="K114" s="262"/>
      <c r="L114" s="265">
        <v>434</v>
      </c>
      <c r="M114" s="262"/>
      <c r="N114" s="282">
        <f>I114*L114</f>
        <v>0</v>
      </c>
      <c r="O114" s="277"/>
    </row>
    <row r="115" spans="1:15" hidden="1">
      <c r="A115" s="273"/>
      <c r="B115" s="262"/>
      <c r="C115" s="262"/>
      <c r="D115" s="262"/>
      <c r="E115" s="296"/>
      <c r="F115" s="265"/>
      <c r="G115" s="265"/>
      <c r="H115" s="262"/>
      <c r="I115" s="266"/>
      <c r="J115" s="267"/>
      <c r="K115" s="262"/>
      <c r="L115" s="265"/>
      <c r="M115" s="262"/>
      <c r="N115" s="282"/>
      <c r="O115" s="277"/>
    </row>
    <row r="116" spans="1:15" hidden="1">
      <c r="A116" s="273"/>
      <c r="B116" s="262"/>
      <c r="C116" s="262" t="s">
        <v>335</v>
      </c>
      <c r="D116" s="262"/>
      <c r="E116" s="296"/>
      <c r="F116" s="265"/>
      <c r="G116" s="265"/>
      <c r="H116" s="262"/>
      <c r="I116" s="266"/>
      <c r="J116" s="267"/>
      <c r="K116" s="262"/>
      <c r="L116" s="265"/>
      <c r="M116" s="262"/>
      <c r="N116" s="282"/>
      <c r="O116" s="277"/>
    </row>
    <row r="117" spans="1:15" hidden="1">
      <c r="A117" s="273"/>
      <c r="B117" s="262"/>
      <c r="C117" s="262"/>
      <c r="D117" s="262" t="s">
        <v>336</v>
      </c>
      <c r="E117" s="296">
        <v>1050</v>
      </c>
      <c r="F117" s="265"/>
      <c r="G117" s="265"/>
      <c r="H117" s="262"/>
      <c r="I117" s="266"/>
      <c r="J117" s="267" t="s">
        <v>4</v>
      </c>
      <c r="K117" s="262"/>
      <c r="L117" s="265">
        <v>320</v>
      </c>
      <c r="M117" s="262"/>
      <c r="N117" s="282">
        <f>I117*L117</f>
        <v>0</v>
      </c>
      <c r="O117" s="277"/>
    </row>
    <row r="118" spans="1:15" hidden="1">
      <c r="A118" s="273"/>
      <c r="B118" s="262"/>
      <c r="C118" s="262"/>
      <c r="D118" s="262" t="s">
        <v>352</v>
      </c>
      <c r="E118" s="296">
        <v>1050</v>
      </c>
      <c r="F118" s="265"/>
      <c r="G118" s="265"/>
      <c r="H118" s="262"/>
      <c r="I118" s="266"/>
      <c r="J118" s="267" t="s">
        <v>4</v>
      </c>
      <c r="K118" s="262"/>
      <c r="L118" s="265">
        <v>370</v>
      </c>
      <c r="M118" s="262"/>
      <c r="N118" s="282">
        <f>I118*L118</f>
        <v>0</v>
      </c>
      <c r="O118" s="277"/>
    </row>
    <row r="119" spans="1:15" hidden="1">
      <c r="A119" s="273"/>
      <c r="B119" s="262"/>
      <c r="C119" s="262"/>
      <c r="D119" s="262" t="s">
        <v>353</v>
      </c>
      <c r="E119" s="296">
        <v>1050</v>
      </c>
      <c r="F119" s="265"/>
      <c r="G119" s="265"/>
      <c r="H119" s="262"/>
      <c r="I119" s="266"/>
      <c r="J119" s="267" t="s">
        <v>4</v>
      </c>
      <c r="K119" s="262"/>
      <c r="L119" s="265">
        <v>430</v>
      </c>
      <c r="M119" s="262"/>
      <c r="N119" s="282">
        <f>I119*L119</f>
        <v>0</v>
      </c>
      <c r="O119" s="277"/>
    </row>
    <row r="120" spans="1:15" hidden="1">
      <c r="A120" s="273"/>
      <c r="B120" s="262"/>
      <c r="C120" s="262"/>
      <c r="D120" s="262" t="s">
        <v>354</v>
      </c>
      <c r="E120" s="296">
        <v>1050</v>
      </c>
      <c r="F120" s="265"/>
      <c r="G120" s="265"/>
      <c r="H120" s="262"/>
      <c r="I120" s="266"/>
      <c r="J120" s="267" t="s">
        <v>4</v>
      </c>
      <c r="K120" s="262"/>
      <c r="L120" s="265">
        <v>484</v>
      </c>
      <c r="M120" s="262"/>
      <c r="N120" s="282">
        <f>I120*L120</f>
        <v>0</v>
      </c>
      <c r="O120" s="277"/>
    </row>
    <row r="121" spans="1:15" hidden="1">
      <c r="A121" s="273"/>
      <c r="B121" s="262"/>
      <c r="C121" s="262"/>
      <c r="D121" s="262"/>
      <c r="E121" s="296"/>
      <c r="F121" s="265"/>
      <c r="G121" s="265"/>
      <c r="H121" s="262"/>
      <c r="I121" s="266"/>
      <c r="J121" s="267"/>
      <c r="K121" s="262"/>
      <c r="L121" s="265"/>
      <c r="M121" s="262"/>
      <c r="N121" s="282"/>
      <c r="O121" s="277"/>
    </row>
    <row r="122" spans="1:15" hidden="1">
      <c r="A122" s="273"/>
      <c r="B122" s="262"/>
      <c r="C122" s="262" t="s">
        <v>335</v>
      </c>
      <c r="D122" s="262"/>
      <c r="E122" s="296"/>
      <c r="F122" s="265"/>
      <c r="G122" s="265"/>
      <c r="H122" s="262"/>
      <c r="I122" s="266"/>
      <c r="J122" s="267"/>
      <c r="K122" s="262"/>
      <c r="L122" s="265"/>
      <c r="M122" s="262"/>
      <c r="N122" s="282"/>
      <c r="O122" s="277"/>
    </row>
    <row r="123" spans="1:15" hidden="1">
      <c r="A123" s="273"/>
      <c r="B123" s="262"/>
      <c r="C123" s="262"/>
      <c r="D123" s="262" t="s">
        <v>336</v>
      </c>
      <c r="E123" s="296">
        <v>1200</v>
      </c>
      <c r="F123" s="265"/>
      <c r="G123" s="265"/>
      <c r="H123" s="262"/>
      <c r="I123" s="266"/>
      <c r="J123" s="267" t="s">
        <v>4</v>
      </c>
      <c r="K123" s="262"/>
      <c r="L123" s="265">
        <v>380</v>
      </c>
      <c r="M123" s="262"/>
      <c r="N123" s="282">
        <f>I123*L123</f>
        <v>0</v>
      </c>
      <c r="O123" s="277"/>
    </row>
    <row r="124" spans="1:15" hidden="1">
      <c r="A124" s="273"/>
      <c r="B124" s="262"/>
      <c r="C124" s="262"/>
      <c r="D124" s="262" t="s">
        <v>352</v>
      </c>
      <c r="E124" s="296">
        <v>1200</v>
      </c>
      <c r="F124" s="265"/>
      <c r="G124" s="265"/>
      <c r="H124" s="262"/>
      <c r="I124" s="266"/>
      <c r="J124" s="267" t="s">
        <v>4</v>
      </c>
      <c r="K124" s="262"/>
      <c r="L124" s="265">
        <v>430</v>
      </c>
      <c r="M124" s="262"/>
      <c r="N124" s="282">
        <f>I124*L124</f>
        <v>0</v>
      </c>
      <c r="O124" s="277"/>
    </row>
    <row r="125" spans="1:15" hidden="1">
      <c r="A125" s="273"/>
      <c r="B125" s="262"/>
      <c r="C125" s="262"/>
      <c r="D125" s="262" t="s">
        <v>353</v>
      </c>
      <c r="E125" s="296">
        <v>1200</v>
      </c>
      <c r="F125" s="265"/>
      <c r="G125" s="265"/>
      <c r="H125" s="262"/>
      <c r="I125" s="266"/>
      <c r="J125" s="267" t="s">
        <v>4</v>
      </c>
      <c r="K125" s="262"/>
      <c r="L125" s="265">
        <v>490</v>
      </c>
      <c r="M125" s="262"/>
      <c r="N125" s="282">
        <f>I125*L125</f>
        <v>0</v>
      </c>
      <c r="O125" s="277"/>
    </row>
    <row r="126" spans="1:15" hidden="1">
      <c r="A126" s="273"/>
      <c r="B126" s="262"/>
      <c r="C126" s="262"/>
      <c r="D126" s="262" t="s">
        <v>354</v>
      </c>
      <c r="E126" s="296">
        <v>1200</v>
      </c>
      <c r="F126" s="265"/>
      <c r="G126" s="265"/>
      <c r="H126" s="262"/>
      <c r="I126" s="266"/>
      <c r="J126" s="267" t="s">
        <v>4</v>
      </c>
      <c r="K126" s="262"/>
      <c r="L126" s="265">
        <v>549</v>
      </c>
      <c r="M126" s="262"/>
      <c r="N126" s="282">
        <f>I126*L126</f>
        <v>0</v>
      </c>
      <c r="O126" s="277"/>
    </row>
    <row r="127" spans="1:15" hidden="1">
      <c r="A127" s="273"/>
      <c r="B127" s="262"/>
      <c r="C127" s="262"/>
      <c r="D127" s="262"/>
      <c r="E127" s="296"/>
      <c r="F127" s="265"/>
      <c r="G127" s="265"/>
      <c r="H127" s="262"/>
      <c r="I127" s="266"/>
      <c r="J127" s="267"/>
      <c r="K127" s="262"/>
      <c r="L127" s="265"/>
      <c r="M127" s="262"/>
      <c r="N127" s="282"/>
      <c r="O127" s="277"/>
    </row>
    <row r="128" spans="1:15" hidden="1">
      <c r="A128" s="273"/>
      <c r="B128" s="262"/>
      <c r="C128" s="262" t="s">
        <v>335</v>
      </c>
      <c r="D128" s="262"/>
      <c r="E128" s="296"/>
      <c r="F128" s="265"/>
      <c r="G128" s="265"/>
      <c r="H128" s="262"/>
      <c r="I128" s="266"/>
      <c r="J128" s="267"/>
      <c r="K128" s="262"/>
      <c r="L128" s="265"/>
      <c r="M128" s="262"/>
      <c r="N128" s="282"/>
      <c r="O128" s="277"/>
    </row>
    <row r="129" spans="1:15" hidden="1">
      <c r="A129" s="273"/>
      <c r="B129" s="262"/>
      <c r="C129" s="262"/>
      <c r="D129" s="262" t="s">
        <v>336</v>
      </c>
      <c r="E129" s="296">
        <v>1350</v>
      </c>
      <c r="F129" s="265"/>
      <c r="G129" s="265"/>
      <c r="H129" s="262"/>
      <c r="I129" s="266"/>
      <c r="J129" s="267" t="s">
        <v>4</v>
      </c>
      <c r="K129" s="262"/>
      <c r="L129" s="265">
        <v>440</v>
      </c>
      <c r="M129" s="262"/>
      <c r="N129" s="282">
        <f>I129*L129</f>
        <v>0</v>
      </c>
      <c r="O129" s="277"/>
    </row>
    <row r="130" spans="1:15" hidden="1">
      <c r="A130" s="273"/>
      <c r="B130" s="262"/>
      <c r="C130" s="262"/>
      <c r="D130" s="262" t="s">
        <v>352</v>
      </c>
      <c r="E130" s="296">
        <v>1350</v>
      </c>
      <c r="F130" s="265"/>
      <c r="G130" s="265"/>
      <c r="H130" s="262"/>
      <c r="I130" s="266"/>
      <c r="J130" s="267" t="s">
        <v>4</v>
      </c>
      <c r="K130" s="262"/>
      <c r="L130" s="265">
        <v>490</v>
      </c>
      <c r="M130" s="262"/>
      <c r="N130" s="282">
        <f>I130*L130</f>
        <v>0</v>
      </c>
      <c r="O130" s="277"/>
    </row>
    <row r="131" spans="1:15" hidden="1">
      <c r="A131" s="273"/>
      <c r="B131" s="262"/>
      <c r="C131" s="262"/>
      <c r="D131" s="262" t="s">
        <v>353</v>
      </c>
      <c r="E131" s="296">
        <v>1350</v>
      </c>
      <c r="F131" s="265"/>
      <c r="G131" s="265"/>
      <c r="H131" s="262"/>
      <c r="I131" s="266"/>
      <c r="J131" s="267" t="s">
        <v>4</v>
      </c>
      <c r="K131" s="262"/>
      <c r="L131" s="265">
        <v>550</v>
      </c>
      <c r="M131" s="262"/>
      <c r="N131" s="282">
        <f>I131*L131</f>
        <v>0</v>
      </c>
      <c r="O131" s="277"/>
    </row>
    <row r="132" spans="1:15" hidden="1">
      <c r="A132" s="273"/>
      <c r="B132" s="262"/>
      <c r="C132" s="262"/>
      <c r="D132" s="262" t="s">
        <v>354</v>
      </c>
      <c r="E132" s="296">
        <v>1350</v>
      </c>
      <c r="F132" s="265"/>
      <c r="G132" s="265"/>
      <c r="H132" s="262"/>
      <c r="I132" s="266"/>
      <c r="J132" s="267" t="s">
        <v>4</v>
      </c>
      <c r="K132" s="262"/>
      <c r="L132" s="265">
        <v>609</v>
      </c>
      <c r="M132" s="262"/>
      <c r="N132" s="282">
        <f>I132*L132</f>
        <v>0</v>
      </c>
      <c r="O132" s="277"/>
    </row>
    <row r="133" spans="1:15" hidden="1">
      <c r="A133" s="273"/>
      <c r="B133" s="262"/>
      <c r="C133" s="262"/>
      <c r="D133" s="262"/>
      <c r="E133" s="296"/>
      <c r="F133" s="265"/>
      <c r="G133" s="265"/>
      <c r="H133" s="262"/>
      <c r="I133" s="266"/>
      <c r="J133" s="267"/>
      <c r="K133" s="262"/>
      <c r="L133" s="265"/>
      <c r="M133" s="262"/>
      <c r="N133" s="282"/>
      <c r="O133" s="277"/>
    </row>
    <row r="134" spans="1:15" hidden="1">
      <c r="A134" s="273"/>
      <c r="B134" s="262"/>
      <c r="C134" s="262" t="s">
        <v>335</v>
      </c>
      <c r="D134" s="262"/>
      <c r="E134" s="296"/>
      <c r="F134" s="265"/>
      <c r="G134" s="265"/>
      <c r="H134" s="262"/>
      <c r="I134" s="266"/>
      <c r="J134" s="267"/>
      <c r="K134" s="262"/>
      <c r="L134" s="265"/>
      <c r="M134" s="262"/>
      <c r="N134" s="282"/>
      <c r="O134" s="277"/>
    </row>
    <row r="135" spans="1:15" hidden="1">
      <c r="A135" s="273"/>
      <c r="B135" s="262"/>
      <c r="C135" s="262"/>
      <c r="D135" s="262" t="s">
        <v>336</v>
      </c>
      <c r="E135" s="296">
        <v>1800</v>
      </c>
      <c r="F135" s="265"/>
      <c r="G135" s="265"/>
      <c r="H135" s="262"/>
      <c r="I135" s="266"/>
      <c r="J135" s="267" t="s">
        <v>4</v>
      </c>
      <c r="K135" s="262"/>
      <c r="L135" s="265"/>
      <c r="M135" s="262"/>
      <c r="N135" s="282">
        <f>I135*L135</f>
        <v>0</v>
      </c>
      <c r="O135" s="277"/>
    </row>
    <row r="136" spans="1:15" hidden="1">
      <c r="A136" s="273"/>
      <c r="B136" s="262"/>
      <c r="C136" s="262"/>
      <c r="D136" s="262" t="s">
        <v>352</v>
      </c>
      <c r="E136" s="296">
        <v>1800</v>
      </c>
      <c r="F136" s="265"/>
      <c r="G136" s="265"/>
      <c r="H136" s="262"/>
      <c r="I136" s="266"/>
      <c r="J136" s="267" t="s">
        <v>4</v>
      </c>
      <c r="K136" s="262"/>
      <c r="L136" s="265">
        <v>550</v>
      </c>
      <c r="M136" s="262"/>
      <c r="N136" s="282">
        <f>I136*L136</f>
        <v>0</v>
      </c>
      <c r="O136" s="277"/>
    </row>
    <row r="137" spans="1:15" hidden="1">
      <c r="A137" s="273"/>
      <c r="B137" s="262"/>
      <c r="C137" s="262"/>
      <c r="D137" s="262" t="s">
        <v>353</v>
      </c>
      <c r="E137" s="296">
        <v>1800</v>
      </c>
      <c r="F137" s="265"/>
      <c r="G137" s="265"/>
      <c r="H137" s="262"/>
      <c r="I137" s="266"/>
      <c r="J137" s="267" t="s">
        <v>4</v>
      </c>
      <c r="K137" s="262"/>
      <c r="L137" s="265">
        <v>610</v>
      </c>
      <c r="M137" s="262"/>
      <c r="N137" s="282">
        <f>I137*L137</f>
        <v>0</v>
      </c>
      <c r="O137" s="277"/>
    </row>
    <row r="138" spans="1:15" hidden="1">
      <c r="A138" s="273"/>
      <c r="B138" s="262"/>
      <c r="C138" s="262"/>
      <c r="D138" s="262" t="s">
        <v>354</v>
      </c>
      <c r="E138" s="296">
        <v>1800</v>
      </c>
      <c r="F138" s="265"/>
      <c r="G138" s="265"/>
      <c r="H138" s="262"/>
      <c r="I138" s="266"/>
      <c r="J138" s="267" t="s">
        <v>4</v>
      </c>
      <c r="K138" s="262"/>
      <c r="L138" s="265">
        <v>669</v>
      </c>
      <c r="M138" s="262"/>
      <c r="N138" s="282">
        <f>I138*L138</f>
        <v>0</v>
      </c>
      <c r="O138" s="277"/>
    </row>
    <row r="139" spans="1:15" hidden="1">
      <c r="A139" s="273"/>
      <c r="B139" s="262"/>
      <c r="C139" s="262"/>
      <c r="D139" s="262"/>
      <c r="E139" s="296"/>
      <c r="F139" s="265"/>
      <c r="G139" s="265"/>
      <c r="H139" s="262"/>
      <c r="I139" s="266"/>
      <c r="J139" s="267"/>
      <c r="K139" s="262"/>
      <c r="L139" s="265"/>
      <c r="M139" s="262"/>
      <c r="N139" s="282"/>
      <c r="O139" s="277"/>
    </row>
    <row r="140" spans="1:15" hidden="1">
      <c r="A140" s="273"/>
      <c r="B140" s="262"/>
      <c r="C140" s="262" t="s">
        <v>40</v>
      </c>
      <c r="D140" s="262"/>
      <c r="E140" s="296"/>
      <c r="F140" s="265"/>
      <c r="G140" s="265"/>
      <c r="H140" s="262"/>
      <c r="I140" s="266"/>
      <c r="J140" s="267"/>
      <c r="K140" s="262"/>
      <c r="L140" s="265"/>
      <c r="M140" s="262"/>
      <c r="N140" s="282"/>
      <c r="O140" s="277"/>
    </row>
    <row r="141" spans="1:15" hidden="1">
      <c r="A141" s="273"/>
      <c r="B141" s="262"/>
      <c r="C141" s="262"/>
      <c r="D141" s="262"/>
      <c r="E141" s="296"/>
      <c r="F141" s="265"/>
      <c r="G141" s="265"/>
      <c r="H141" s="262"/>
      <c r="I141" s="266"/>
      <c r="J141" s="267"/>
      <c r="K141" s="262"/>
      <c r="L141" s="265"/>
      <c r="M141" s="262"/>
      <c r="N141" s="282"/>
      <c r="O141" s="277"/>
    </row>
    <row r="142" spans="1:15" hidden="1">
      <c r="A142" s="273"/>
      <c r="B142" s="262"/>
      <c r="C142" s="262" t="s">
        <v>355</v>
      </c>
      <c r="D142" s="262"/>
      <c r="E142" s="296"/>
      <c r="F142" s="265"/>
      <c r="G142" s="265"/>
      <c r="H142" s="262"/>
      <c r="I142" s="266"/>
      <c r="J142" s="267"/>
      <c r="K142" s="262"/>
      <c r="L142" s="265"/>
      <c r="M142" s="262"/>
      <c r="N142" s="282"/>
      <c r="O142" s="277"/>
    </row>
    <row r="143" spans="1:15" hidden="1">
      <c r="A143" s="273"/>
      <c r="B143" s="262"/>
      <c r="C143" s="262"/>
      <c r="D143" s="262" t="s">
        <v>336</v>
      </c>
      <c r="E143" s="296"/>
      <c r="F143" s="265"/>
      <c r="G143" s="265"/>
      <c r="H143" s="262"/>
      <c r="I143" s="266">
        <f>(($G$55/30)+2)*0.2</f>
        <v>0.4</v>
      </c>
      <c r="J143" s="267" t="s">
        <v>19</v>
      </c>
      <c r="K143" s="262"/>
      <c r="L143" s="265">
        <v>1350</v>
      </c>
      <c r="M143" s="262"/>
      <c r="N143" s="282">
        <f>I143*L143</f>
        <v>540</v>
      </c>
      <c r="O143" s="277"/>
    </row>
    <row r="144" spans="1:15" hidden="1">
      <c r="A144" s="273"/>
      <c r="B144" s="262"/>
      <c r="C144" s="262"/>
      <c r="D144" s="262" t="s">
        <v>352</v>
      </c>
      <c r="E144" s="296"/>
      <c r="F144" s="265"/>
      <c r="G144" s="265"/>
      <c r="H144" s="262"/>
      <c r="I144" s="266">
        <f>(($G$55/30)+2)*0.6</f>
        <v>1.2</v>
      </c>
      <c r="J144" s="267" t="s">
        <v>19</v>
      </c>
      <c r="K144" s="262"/>
      <c r="L144" s="265">
        <v>1750</v>
      </c>
      <c r="M144" s="262"/>
      <c r="N144" s="282">
        <f>I144*L144</f>
        <v>2100</v>
      </c>
      <c r="O144" s="277"/>
    </row>
    <row r="145" spans="1:15" hidden="1">
      <c r="A145" s="273"/>
      <c r="B145" s="262"/>
      <c r="C145" s="262"/>
      <c r="D145" s="262" t="s">
        <v>353</v>
      </c>
      <c r="E145" s="296">
        <f>E141+E148+E149+E151+E152-0.45</f>
        <v>-0.45</v>
      </c>
      <c r="F145" s="265"/>
      <c r="G145" s="265"/>
      <c r="H145" s="262"/>
      <c r="I145" s="266">
        <f>(($G$55/30)+2)*0.2</f>
        <v>0.4</v>
      </c>
      <c r="J145" s="267" t="s">
        <v>19</v>
      </c>
      <c r="K145" s="262"/>
      <c r="L145" s="265">
        <v>2225</v>
      </c>
      <c r="M145" s="262"/>
      <c r="N145" s="282">
        <f>I145*L145</f>
        <v>890</v>
      </c>
      <c r="O145" s="277"/>
    </row>
    <row r="146" spans="1:15" hidden="1">
      <c r="A146" s="273"/>
      <c r="B146" s="262"/>
      <c r="C146" s="262"/>
      <c r="D146" s="262" t="s">
        <v>354</v>
      </c>
      <c r="E146" s="296"/>
      <c r="F146" s="265"/>
      <c r="G146" s="265"/>
      <c r="H146" s="262"/>
      <c r="I146" s="266"/>
      <c r="J146" s="267" t="s">
        <v>19</v>
      </c>
      <c r="K146" s="262"/>
      <c r="L146" s="265">
        <v>2825</v>
      </c>
      <c r="M146" s="262"/>
      <c r="N146" s="282">
        <f>I146*L146</f>
        <v>0</v>
      </c>
      <c r="O146" s="277"/>
    </row>
    <row r="147" spans="1:15" hidden="1">
      <c r="A147" s="273"/>
      <c r="B147" s="262"/>
      <c r="C147" s="262"/>
      <c r="D147" s="262"/>
      <c r="E147" s="296"/>
      <c r="F147" s="265"/>
      <c r="G147" s="265"/>
      <c r="H147" s="262"/>
      <c r="I147" s="266"/>
      <c r="J147" s="267"/>
      <c r="K147" s="262"/>
      <c r="L147" s="265"/>
      <c r="M147" s="262"/>
      <c r="N147" s="282"/>
      <c r="O147" s="277"/>
    </row>
    <row r="148" spans="1:15" hidden="1">
      <c r="A148" s="273"/>
      <c r="B148" s="262"/>
      <c r="C148" s="262" t="s">
        <v>356</v>
      </c>
      <c r="D148" s="262"/>
      <c r="E148" s="296"/>
      <c r="F148" s="265"/>
      <c r="G148" s="265"/>
      <c r="H148" s="262"/>
      <c r="I148" s="266"/>
      <c r="J148" s="267"/>
      <c r="K148" s="262"/>
      <c r="L148" s="265"/>
      <c r="M148" s="262"/>
      <c r="N148" s="282"/>
      <c r="O148" s="277"/>
    </row>
    <row r="149" spans="1:15" hidden="1">
      <c r="A149" s="273"/>
      <c r="B149" s="262"/>
      <c r="C149" s="262"/>
      <c r="D149" s="262" t="s">
        <v>336</v>
      </c>
      <c r="E149" s="296"/>
      <c r="F149" s="265"/>
      <c r="G149" s="265"/>
      <c r="H149" s="262"/>
      <c r="I149" s="266"/>
      <c r="J149" s="267" t="s">
        <v>19</v>
      </c>
      <c r="K149" s="262"/>
      <c r="L149" s="265">
        <v>1850</v>
      </c>
      <c r="M149" s="262"/>
      <c r="N149" s="282">
        <f>I149*L149</f>
        <v>0</v>
      </c>
      <c r="O149" s="277"/>
    </row>
    <row r="150" spans="1:15" hidden="1">
      <c r="A150" s="273"/>
      <c r="B150" s="262"/>
      <c r="C150" s="262"/>
      <c r="D150" s="262" t="s">
        <v>352</v>
      </c>
      <c r="E150" s="296"/>
      <c r="F150" s="265"/>
      <c r="G150" s="265"/>
      <c r="H150" s="262"/>
      <c r="I150" s="266"/>
      <c r="J150" s="267" t="s">
        <v>19</v>
      </c>
      <c r="K150" s="262"/>
      <c r="L150" s="265">
        <v>2155</v>
      </c>
      <c r="M150" s="262"/>
      <c r="N150" s="282">
        <f>I150*L150</f>
        <v>0</v>
      </c>
      <c r="O150" s="277"/>
    </row>
    <row r="151" spans="1:15" hidden="1">
      <c r="A151" s="273"/>
      <c r="B151" s="262"/>
      <c r="C151" s="262"/>
      <c r="D151" s="262" t="s">
        <v>353</v>
      </c>
      <c r="E151" s="296"/>
      <c r="F151" s="265"/>
      <c r="G151" s="265"/>
      <c r="H151" s="262"/>
      <c r="I151" s="266"/>
      <c r="J151" s="267" t="s">
        <v>19</v>
      </c>
      <c r="K151" s="262"/>
      <c r="L151" s="265">
        <v>2615</v>
      </c>
      <c r="M151" s="262"/>
      <c r="N151" s="282">
        <f>I151*L151</f>
        <v>0</v>
      </c>
      <c r="O151" s="277"/>
    </row>
    <row r="152" spans="1:15" hidden="1">
      <c r="A152" s="273"/>
      <c r="B152" s="262"/>
      <c r="C152" s="262"/>
      <c r="D152" s="262" t="s">
        <v>354</v>
      </c>
      <c r="E152" s="296"/>
      <c r="F152" s="265"/>
      <c r="G152" s="265"/>
      <c r="H152" s="262"/>
      <c r="I152" s="266"/>
      <c r="J152" s="267" t="s">
        <v>19</v>
      </c>
      <c r="K152" s="262"/>
      <c r="L152" s="265">
        <v>3975</v>
      </c>
      <c r="M152" s="262"/>
      <c r="N152" s="282">
        <f>I152*L152</f>
        <v>0</v>
      </c>
      <c r="O152" s="277"/>
    </row>
    <row r="153" spans="1:15" hidden="1">
      <c r="A153" s="273"/>
      <c r="B153" s="262"/>
      <c r="C153" s="262"/>
      <c r="D153" s="262"/>
      <c r="E153" s="296"/>
      <c r="F153" s="265"/>
      <c r="G153" s="265"/>
      <c r="H153" s="262"/>
      <c r="I153" s="266"/>
      <c r="J153" s="267"/>
      <c r="K153" s="262"/>
      <c r="L153" s="265"/>
      <c r="M153" s="262"/>
      <c r="N153" s="282"/>
      <c r="O153" s="277"/>
    </row>
    <row r="154" spans="1:15" hidden="1">
      <c r="A154" s="273"/>
      <c r="B154" s="262"/>
      <c r="C154" s="262" t="s">
        <v>357</v>
      </c>
      <c r="D154" s="262"/>
      <c r="E154" s="296"/>
      <c r="F154" s="265"/>
      <c r="G154" s="265"/>
      <c r="H154" s="262"/>
      <c r="I154" s="266"/>
      <c r="J154" s="267"/>
      <c r="K154" s="262"/>
      <c r="L154" s="265"/>
      <c r="M154" s="262"/>
      <c r="N154" s="282"/>
      <c r="O154" s="277"/>
    </row>
    <row r="155" spans="1:15" hidden="1">
      <c r="A155" s="273"/>
      <c r="B155" s="262"/>
      <c r="C155" s="262"/>
      <c r="D155" s="262" t="s">
        <v>336</v>
      </c>
      <c r="E155" s="296"/>
      <c r="F155" s="265"/>
      <c r="G155" s="265"/>
      <c r="H155" s="262"/>
      <c r="I155" s="266"/>
      <c r="J155" s="267" t="s">
        <v>19</v>
      </c>
      <c r="K155" s="262"/>
      <c r="L155" s="265">
        <v>2125</v>
      </c>
      <c r="M155" s="262"/>
      <c r="N155" s="282">
        <f>I155*L155</f>
        <v>0</v>
      </c>
      <c r="O155" s="277"/>
    </row>
    <row r="156" spans="1:15" hidden="1">
      <c r="A156" s="273"/>
      <c r="B156" s="262"/>
      <c r="C156" s="262"/>
      <c r="D156" s="262" t="s">
        <v>352</v>
      </c>
      <c r="E156" s="296"/>
      <c r="F156" s="265"/>
      <c r="G156" s="265"/>
      <c r="H156" s="262"/>
      <c r="I156" s="266"/>
      <c r="J156" s="267" t="s">
        <v>19</v>
      </c>
      <c r="K156" s="262"/>
      <c r="L156" s="265">
        <v>2610</v>
      </c>
      <c r="M156" s="262"/>
      <c r="N156" s="282">
        <f>I156*L156</f>
        <v>0</v>
      </c>
      <c r="O156" s="277"/>
    </row>
    <row r="157" spans="1:15" hidden="1">
      <c r="A157" s="273"/>
      <c r="B157" s="262"/>
      <c r="C157" s="262"/>
      <c r="D157" s="262" t="s">
        <v>353</v>
      </c>
      <c r="E157" s="296"/>
      <c r="F157" s="265"/>
      <c r="G157" s="265"/>
      <c r="H157" s="262"/>
      <c r="I157" s="266"/>
      <c r="J157" s="267" t="s">
        <v>19</v>
      </c>
      <c r="K157" s="262"/>
      <c r="L157" s="265">
        <v>3400</v>
      </c>
      <c r="M157" s="262"/>
      <c r="N157" s="282">
        <f>I157*L157</f>
        <v>0</v>
      </c>
      <c r="O157" s="277"/>
    </row>
    <row r="158" spans="1:15" hidden="1">
      <c r="A158" s="273"/>
      <c r="B158" s="262"/>
      <c r="C158" s="262"/>
      <c r="D158" s="262" t="s">
        <v>354</v>
      </c>
      <c r="E158" s="296"/>
      <c r="F158" s="265"/>
      <c r="G158" s="265"/>
      <c r="H158" s="262"/>
      <c r="I158" s="266"/>
      <c r="J158" s="267" t="s">
        <v>19</v>
      </c>
      <c r="K158" s="262"/>
      <c r="L158" s="265">
        <v>4300</v>
      </c>
      <c r="M158" s="262"/>
      <c r="N158" s="282">
        <f>I158*L158</f>
        <v>0</v>
      </c>
      <c r="O158" s="277"/>
    </row>
    <row r="159" spans="1:15" hidden="1">
      <c r="A159" s="273"/>
      <c r="B159" s="262"/>
      <c r="C159" s="262"/>
      <c r="D159" s="262"/>
      <c r="E159" s="296"/>
      <c r="F159" s="265"/>
      <c r="G159" s="265"/>
      <c r="H159" s="262"/>
      <c r="I159" s="266"/>
      <c r="J159" s="267"/>
      <c r="K159" s="262"/>
      <c r="L159" s="265"/>
      <c r="M159" s="262"/>
      <c r="N159" s="282"/>
      <c r="O159" s="277"/>
    </row>
    <row r="160" spans="1:15" hidden="1">
      <c r="A160" s="273"/>
      <c r="B160" s="262"/>
      <c r="C160" s="262" t="s">
        <v>358</v>
      </c>
      <c r="D160" s="262"/>
      <c r="E160" s="296"/>
      <c r="F160" s="265"/>
      <c r="G160" s="265"/>
      <c r="H160" s="262"/>
      <c r="I160" s="266"/>
      <c r="J160" s="267"/>
      <c r="K160" s="262"/>
      <c r="L160" s="265"/>
      <c r="M160" s="262"/>
      <c r="N160" s="282"/>
      <c r="O160" s="277"/>
    </row>
    <row r="161" spans="1:15" hidden="1">
      <c r="A161" s="273"/>
      <c r="B161" s="262"/>
      <c r="C161" s="262"/>
      <c r="D161" s="262" t="s">
        <v>336</v>
      </c>
      <c r="E161" s="296"/>
      <c r="F161" s="265"/>
      <c r="G161" s="265"/>
      <c r="H161" s="262"/>
      <c r="I161" s="266"/>
      <c r="J161" s="267" t="s">
        <v>19</v>
      </c>
      <c r="K161" s="262"/>
      <c r="L161" s="265">
        <v>2350</v>
      </c>
      <c r="M161" s="262"/>
      <c r="N161" s="282">
        <f>I161*L161</f>
        <v>0</v>
      </c>
      <c r="O161" s="277"/>
    </row>
    <row r="162" spans="1:15" hidden="1">
      <c r="A162" s="273"/>
      <c r="B162" s="262"/>
      <c r="C162" s="262"/>
      <c r="D162" s="262" t="s">
        <v>352</v>
      </c>
      <c r="E162" s="296"/>
      <c r="F162" s="265"/>
      <c r="G162" s="265"/>
      <c r="H162" s="262"/>
      <c r="I162" s="266"/>
      <c r="J162" s="267" t="s">
        <v>19</v>
      </c>
      <c r="K162" s="262"/>
      <c r="L162" s="265">
        <v>3350</v>
      </c>
      <c r="M162" s="262"/>
      <c r="N162" s="282">
        <f>I162*L162</f>
        <v>0</v>
      </c>
      <c r="O162" s="277"/>
    </row>
    <row r="163" spans="1:15" hidden="1">
      <c r="A163" s="273"/>
      <c r="B163" s="262"/>
      <c r="C163" s="262"/>
      <c r="D163" s="262" t="s">
        <v>353</v>
      </c>
      <c r="E163" s="296"/>
      <c r="F163" s="265"/>
      <c r="G163" s="265"/>
      <c r="H163" s="262"/>
      <c r="I163" s="266"/>
      <c r="J163" s="267" t="s">
        <v>19</v>
      </c>
      <c r="K163" s="262"/>
      <c r="L163" s="265">
        <v>4195</v>
      </c>
      <c r="M163" s="262"/>
      <c r="N163" s="282">
        <f>I163*L163</f>
        <v>0</v>
      </c>
      <c r="O163" s="277"/>
    </row>
    <row r="164" spans="1:15" hidden="1">
      <c r="A164" s="273"/>
      <c r="B164" s="262"/>
      <c r="C164" s="262"/>
      <c r="D164" s="262" t="s">
        <v>354</v>
      </c>
      <c r="E164" s="296"/>
      <c r="F164" s="265"/>
      <c r="G164" s="265"/>
      <c r="H164" s="262"/>
      <c r="I164" s="266"/>
      <c r="J164" s="267" t="s">
        <v>19</v>
      </c>
      <c r="K164" s="262"/>
      <c r="L164" s="265">
        <v>4870</v>
      </c>
      <c r="M164" s="262"/>
      <c r="N164" s="282">
        <f>I164*L164</f>
        <v>0</v>
      </c>
      <c r="O164" s="277"/>
    </row>
    <row r="165" spans="1:15" hidden="1">
      <c r="A165" s="273"/>
      <c r="B165" s="262"/>
      <c r="C165" s="262"/>
      <c r="D165" s="262"/>
      <c r="E165" s="296"/>
      <c r="F165" s="265"/>
      <c r="G165" s="265"/>
      <c r="H165" s="262"/>
      <c r="I165" s="266"/>
      <c r="J165" s="267"/>
      <c r="K165" s="262"/>
      <c r="L165" s="265"/>
      <c r="M165" s="262"/>
      <c r="N165" s="282"/>
      <c r="O165" s="277"/>
    </row>
    <row r="166" spans="1:15" hidden="1">
      <c r="A166" s="273"/>
      <c r="B166" s="262"/>
      <c r="C166" s="262" t="s">
        <v>359</v>
      </c>
      <c r="D166" s="262"/>
      <c r="E166" s="296"/>
      <c r="F166" s="265"/>
      <c r="G166" s="265"/>
      <c r="H166" s="262"/>
      <c r="I166" s="266"/>
      <c r="J166" s="267"/>
      <c r="K166" s="262"/>
      <c r="L166" s="265"/>
      <c r="M166" s="262"/>
      <c r="N166" s="282"/>
      <c r="O166" s="277"/>
    </row>
    <row r="167" spans="1:15" hidden="1">
      <c r="A167" s="273"/>
      <c r="B167" s="262"/>
      <c r="C167" s="262"/>
      <c r="D167" s="262" t="s">
        <v>336</v>
      </c>
      <c r="E167" s="296"/>
      <c r="F167" s="265"/>
      <c r="G167" s="265"/>
      <c r="H167" s="262"/>
      <c r="I167" s="266"/>
      <c r="J167" s="267" t="s">
        <v>19</v>
      </c>
      <c r="K167" s="262"/>
      <c r="L167" s="265">
        <v>2980</v>
      </c>
      <c r="M167" s="262"/>
      <c r="N167" s="282">
        <f>I167*L167</f>
        <v>0</v>
      </c>
      <c r="O167" s="277"/>
    </row>
    <row r="168" spans="1:15" hidden="1">
      <c r="A168" s="273"/>
      <c r="B168" s="262"/>
      <c r="C168" s="262"/>
      <c r="D168" s="262" t="s">
        <v>352</v>
      </c>
      <c r="E168" s="296"/>
      <c r="F168" s="265"/>
      <c r="G168" s="265"/>
      <c r="H168" s="262"/>
      <c r="I168" s="266"/>
      <c r="J168" s="267" t="s">
        <v>19</v>
      </c>
      <c r="K168" s="262"/>
      <c r="L168" s="265">
        <v>3755</v>
      </c>
      <c r="M168" s="262"/>
      <c r="N168" s="282">
        <f>I168*L168</f>
        <v>0</v>
      </c>
      <c r="O168" s="277"/>
    </row>
    <row r="169" spans="1:15" hidden="1">
      <c r="A169" s="273"/>
      <c r="B169" s="262"/>
      <c r="C169" s="262"/>
      <c r="D169" s="262" t="s">
        <v>353</v>
      </c>
      <c r="E169" s="296"/>
      <c r="F169" s="265"/>
      <c r="G169" s="265"/>
      <c r="H169" s="262"/>
      <c r="I169" s="266"/>
      <c r="J169" s="267" t="s">
        <v>19</v>
      </c>
      <c r="K169" s="262"/>
      <c r="L169" s="265">
        <v>5185</v>
      </c>
      <c r="M169" s="262"/>
      <c r="N169" s="282">
        <f>I169*L169</f>
        <v>0</v>
      </c>
      <c r="O169" s="277"/>
    </row>
    <row r="170" spans="1:15" hidden="1">
      <c r="A170" s="273"/>
      <c r="B170" s="262"/>
      <c r="C170" s="262"/>
      <c r="D170" s="262" t="s">
        <v>354</v>
      </c>
      <c r="E170" s="296"/>
      <c r="F170" s="265"/>
      <c r="G170" s="265"/>
      <c r="H170" s="262"/>
      <c r="I170" s="266"/>
      <c r="J170" s="267" t="s">
        <v>19</v>
      </c>
      <c r="K170" s="262"/>
      <c r="L170" s="265">
        <v>6305</v>
      </c>
      <c r="M170" s="262"/>
      <c r="N170" s="282">
        <f>I170*L170</f>
        <v>0</v>
      </c>
      <c r="O170" s="277"/>
    </row>
    <row r="171" spans="1:15" hidden="1">
      <c r="A171" s="273"/>
      <c r="B171" s="262"/>
      <c r="C171" s="262"/>
      <c r="D171" s="262"/>
      <c r="E171" s="296"/>
      <c r="F171" s="265"/>
      <c r="G171" s="265"/>
      <c r="H171" s="262"/>
      <c r="I171" s="266"/>
      <c r="J171" s="267"/>
      <c r="K171" s="262"/>
      <c r="L171" s="265"/>
      <c r="M171" s="262"/>
      <c r="N171" s="262"/>
      <c r="O171" s="277"/>
    </row>
    <row r="172" spans="1:15" ht="16" hidden="1" thickBot="1">
      <c r="A172" s="273"/>
      <c r="B172" s="262"/>
      <c r="C172" s="262"/>
      <c r="D172" s="262"/>
      <c r="E172" s="296"/>
      <c r="F172" s="265"/>
      <c r="G172" s="265"/>
      <c r="H172" s="262"/>
      <c r="I172" s="266"/>
      <c r="J172" s="267"/>
      <c r="K172" s="283"/>
      <c r="L172" s="284" t="s">
        <v>308</v>
      </c>
      <c r="M172" s="283" t="s">
        <v>309</v>
      </c>
      <c r="N172" s="285">
        <f>SUM(N57:N157)</f>
        <v>3530</v>
      </c>
      <c r="O172" s="277"/>
    </row>
    <row r="173" spans="1:15" ht="16" hidden="1" thickBot="1">
      <c r="A173" s="286"/>
      <c r="B173" s="287"/>
      <c r="C173" s="287"/>
      <c r="D173" s="287"/>
      <c r="E173" s="300"/>
      <c r="F173" s="289"/>
      <c r="G173" s="289"/>
      <c r="H173" s="287"/>
      <c r="I173" s="290"/>
      <c r="J173" s="291"/>
      <c r="K173" s="287"/>
      <c r="L173" s="289"/>
      <c r="M173" s="287"/>
      <c r="N173" s="287"/>
      <c r="O173" s="292"/>
    </row>
    <row r="174" spans="1:15">
      <c r="A174" s="262"/>
      <c r="B174" s="262"/>
      <c r="C174" s="262"/>
      <c r="D174" s="262"/>
      <c r="E174" s="296"/>
      <c r="F174" s="265"/>
      <c r="G174" s="265"/>
      <c r="H174" s="262"/>
      <c r="I174" s="266"/>
      <c r="J174" s="267"/>
      <c r="K174" s="262"/>
      <c r="L174" s="265"/>
      <c r="M174" s="262"/>
      <c r="N174" s="262"/>
      <c r="O174" s="262"/>
    </row>
  </sheetData>
  <mergeCells count="5">
    <mergeCell ref="J4:M4"/>
    <mergeCell ref="E6:F6"/>
    <mergeCell ref="E7:F7"/>
    <mergeCell ref="J54:M54"/>
    <mergeCell ref="E55:F55"/>
  </mergeCells>
  <pageMargins left="0.25" right="0.25" top="0.17000000000000004" bottom="0.55000000000000004" header="0.17000000000000004" footer="0.24000000000000002"/>
  <pageSetup orientation="landscape"/>
  <headerFooter>
    <oddFooter>&amp;LDate Printed : &amp;D_x000D_Time Printed : &amp;T&amp;RFilename : &amp;F_x000D_Sheetname : 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36D03-4EEC-4E43-84CF-0E61CB606AB6}">
  <sheetPr>
    <tabColor theme="9" tint="0.39997558519241921"/>
  </sheetPr>
  <dimension ref="A1:R156"/>
  <sheetViews>
    <sheetView workbookViewId="0">
      <selection activeCell="G7" sqref="G7"/>
    </sheetView>
  </sheetViews>
  <sheetFormatPr baseColWidth="10" defaultColWidth="9.1640625" defaultRowHeight="15"/>
  <cols>
    <col min="1" max="1" width="3.5" customWidth="1"/>
    <col min="2" max="2" width="5.1640625" customWidth="1"/>
    <col min="3" max="3" width="4.5" customWidth="1"/>
    <col min="4" max="4" width="20.5" customWidth="1"/>
    <col min="8" max="8" width="2.5" customWidth="1"/>
    <col min="9" max="9" width="9.83203125" bestFit="1" customWidth="1"/>
    <col min="10" max="10" width="4.6640625" customWidth="1"/>
    <col min="11" max="11" width="1.6640625" customWidth="1"/>
    <col min="13" max="13" width="2" customWidth="1"/>
    <col min="14" max="14" width="12.83203125" customWidth="1"/>
    <col min="15" max="15" width="3.5" customWidth="1"/>
    <col min="16" max="16" width="3" customWidth="1"/>
    <col min="17" max="17" width="11.5" bestFit="1" customWidth="1"/>
  </cols>
  <sheetData>
    <row r="1" spans="1:17" ht="23">
      <c r="A1" s="262"/>
      <c r="B1" s="262"/>
      <c r="C1" s="263" t="s">
        <v>331</v>
      </c>
      <c r="D1" s="262"/>
      <c r="E1" s="296"/>
      <c r="F1" s="265"/>
      <c r="G1" s="265"/>
      <c r="H1" s="262"/>
      <c r="I1" s="266"/>
      <c r="J1" s="267"/>
      <c r="K1" s="262"/>
      <c r="L1" s="268" t="s">
        <v>789</v>
      </c>
      <c r="M1" s="262"/>
      <c r="N1" s="262"/>
      <c r="O1" s="262"/>
      <c r="P1" s="262"/>
      <c r="Q1" s="262"/>
    </row>
    <row r="2" spans="1:17" ht="16" thickBot="1">
      <c r="A2" s="262"/>
      <c r="B2" s="262"/>
      <c r="C2" s="262" t="s">
        <v>277</v>
      </c>
      <c r="D2" s="262"/>
      <c r="E2" s="296"/>
      <c r="F2" s="265"/>
      <c r="G2" s="265"/>
      <c r="H2" s="262"/>
      <c r="I2" s="266"/>
      <c r="J2" s="267"/>
      <c r="K2" s="262"/>
      <c r="L2" s="265"/>
      <c r="M2" s="262"/>
      <c r="N2" s="262"/>
      <c r="O2" s="262"/>
      <c r="P2" s="262"/>
      <c r="Q2" s="262"/>
    </row>
    <row r="3" spans="1:17">
      <c r="A3" s="269"/>
      <c r="B3" s="270"/>
      <c r="C3" s="270"/>
      <c r="D3" s="270"/>
      <c r="E3" s="297"/>
      <c r="F3" s="270"/>
      <c r="G3" s="270"/>
      <c r="H3" s="271"/>
      <c r="I3" s="270"/>
      <c r="J3" s="270"/>
      <c r="K3" s="270"/>
      <c r="L3" s="270"/>
      <c r="M3" s="270"/>
      <c r="N3" s="270"/>
      <c r="O3" s="272"/>
      <c r="P3" s="262"/>
      <c r="Q3" s="262"/>
    </row>
    <row r="4" spans="1:17">
      <c r="A4" s="273"/>
      <c r="B4" s="274" t="s">
        <v>333</v>
      </c>
      <c r="C4" s="275"/>
      <c r="D4" s="275"/>
      <c r="E4" s="298"/>
      <c r="F4" s="262"/>
      <c r="G4" s="262"/>
      <c r="H4" s="262"/>
      <c r="I4" s="266"/>
      <c r="J4" s="1175" t="s">
        <v>279</v>
      </c>
      <c r="K4" s="1176"/>
      <c r="L4" s="1176"/>
      <c r="M4" s="1177"/>
      <c r="N4" s="738">
        <f>N33/G7</f>
        <v>237.03594065870286</v>
      </c>
      <c r="O4" s="277"/>
      <c r="P4" s="262"/>
      <c r="Q4" s="262"/>
    </row>
    <row r="5" spans="1:17">
      <c r="A5" s="273"/>
      <c r="B5" s="262"/>
      <c r="C5" s="262"/>
      <c r="D5" s="262"/>
      <c r="E5" s="262"/>
      <c r="F5" s="262"/>
      <c r="G5" s="262"/>
      <c r="H5" s="262"/>
      <c r="I5" s="262"/>
      <c r="J5" s="262"/>
      <c r="K5" s="262"/>
      <c r="L5" s="262"/>
      <c r="M5" s="262"/>
      <c r="N5" s="262"/>
      <c r="O5" s="277"/>
      <c r="P5" s="262"/>
      <c r="Q5" s="262"/>
    </row>
    <row r="6" spans="1:17">
      <c r="A6" s="273"/>
      <c r="B6" s="262"/>
      <c r="C6" s="262"/>
      <c r="D6" s="262"/>
      <c r="E6" s="1178" t="s">
        <v>782</v>
      </c>
      <c r="F6" s="1179"/>
      <c r="G6" s="749">
        <f>'Dwelling Mix'!AB90</f>
        <v>445</v>
      </c>
      <c r="H6" s="262"/>
      <c r="I6" s="262"/>
      <c r="J6" s="262"/>
      <c r="K6" s="262"/>
      <c r="L6" s="262"/>
      <c r="M6" s="262"/>
      <c r="N6" s="262"/>
      <c r="O6" s="277"/>
      <c r="P6" s="262"/>
      <c r="Q6" s="262"/>
    </row>
    <row r="7" spans="1:17">
      <c r="A7" s="273"/>
      <c r="B7" s="262"/>
      <c r="C7" s="278"/>
      <c r="D7" s="262"/>
      <c r="E7" s="1178" t="s">
        <v>252</v>
      </c>
      <c r="F7" s="1179"/>
      <c r="G7" s="750">
        <f>'Dwelling Mix'!AA98</f>
        <v>2892.5</v>
      </c>
      <c r="H7" s="262" t="s">
        <v>4</v>
      </c>
      <c r="I7" s="262"/>
      <c r="J7" s="262"/>
      <c r="K7" s="262"/>
      <c r="L7" s="262"/>
      <c r="M7" s="262"/>
      <c r="N7" s="262"/>
      <c r="O7" s="277"/>
      <c r="P7" s="262"/>
      <c r="Q7" s="262"/>
    </row>
    <row r="8" spans="1:17">
      <c r="A8" s="273"/>
      <c r="B8" s="262"/>
      <c r="C8" s="278"/>
      <c r="D8" s="262"/>
      <c r="E8" s="753"/>
      <c r="F8" s="753"/>
      <c r="G8" s="747"/>
      <c r="H8" s="262"/>
      <c r="I8" s="262"/>
      <c r="J8" s="262"/>
      <c r="K8" s="262"/>
      <c r="L8" s="262"/>
      <c r="M8" s="262"/>
      <c r="N8" s="262"/>
      <c r="O8" s="277"/>
      <c r="P8" s="262"/>
      <c r="Q8" s="262"/>
    </row>
    <row r="9" spans="1:17">
      <c r="A9" s="273"/>
      <c r="B9" s="262"/>
      <c r="C9" s="262"/>
      <c r="D9" s="751" t="s">
        <v>783</v>
      </c>
      <c r="E9" s="299"/>
      <c r="F9" s="280"/>
      <c r="G9" s="280"/>
      <c r="H9" s="262"/>
      <c r="I9" s="281"/>
      <c r="J9" s="267"/>
      <c r="K9" s="267"/>
      <c r="L9" s="280"/>
      <c r="M9" s="262"/>
      <c r="N9" s="267"/>
      <c r="O9" s="277"/>
      <c r="P9" s="262"/>
      <c r="Q9" s="262"/>
    </row>
    <row r="10" spans="1:17">
      <c r="A10" s="273"/>
      <c r="B10" s="262"/>
      <c r="C10" s="262" t="s">
        <v>335</v>
      </c>
      <c r="D10" s="262"/>
      <c r="E10" s="296"/>
      <c r="F10" s="265"/>
      <c r="G10" s="265"/>
      <c r="H10" s="262"/>
      <c r="I10" s="266"/>
      <c r="J10" s="267"/>
      <c r="K10" s="262"/>
      <c r="L10" s="265"/>
      <c r="M10" s="262"/>
      <c r="N10" s="282"/>
      <c r="O10" s="277"/>
      <c r="P10" s="262"/>
      <c r="Q10" s="262"/>
    </row>
    <row r="11" spans="1:17">
      <c r="A11" s="273"/>
      <c r="B11" s="262"/>
      <c r="C11" s="262"/>
      <c r="D11" s="262" t="s">
        <v>336</v>
      </c>
      <c r="E11" s="296">
        <v>150</v>
      </c>
      <c r="F11" s="265"/>
      <c r="G11" s="265"/>
      <c r="H11" s="262"/>
      <c r="I11" s="266">
        <f>G7</f>
        <v>2892.5</v>
      </c>
      <c r="J11" s="267" t="s">
        <v>4</v>
      </c>
      <c r="K11" s="262"/>
      <c r="L11" s="265">
        <v>120.95376910588236</v>
      </c>
      <c r="M11" s="262"/>
      <c r="N11" s="282">
        <f>I11*L11</f>
        <v>349858.77713876474</v>
      </c>
      <c r="O11" s="277"/>
      <c r="P11" s="262"/>
      <c r="Q11" s="282">
        <f>N11</f>
        <v>349858.77713876474</v>
      </c>
    </row>
    <row r="12" spans="1:17">
      <c r="A12" s="273"/>
      <c r="B12" s="262"/>
      <c r="C12" s="262"/>
      <c r="D12" s="262"/>
      <c r="E12" s="299"/>
      <c r="F12" s="280"/>
      <c r="G12" s="280"/>
      <c r="H12" s="262"/>
      <c r="I12" s="281"/>
      <c r="J12" s="267"/>
      <c r="K12" s="267"/>
      <c r="L12" s="280"/>
      <c r="M12" s="262"/>
      <c r="N12" s="267"/>
      <c r="O12" s="277"/>
      <c r="P12" s="262"/>
      <c r="Q12" s="262"/>
    </row>
    <row r="13" spans="1:17">
      <c r="A13" s="273"/>
      <c r="B13" s="262"/>
      <c r="C13" s="262"/>
      <c r="D13" s="751" t="s">
        <v>211</v>
      </c>
      <c r="E13" s="299"/>
      <c r="F13" s="280"/>
      <c r="G13" s="280"/>
      <c r="H13" s="262"/>
      <c r="I13" s="281"/>
      <c r="J13" s="267"/>
      <c r="K13" s="267"/>
      <c r="L13" s="280"/>
      <c r="M13" s="262"/>
      <c r="N13" s="267"/>
      <c r="O13" s="277"/>
      <c r="P13" s="262"/>
      <c r="Q13" s="262"/>
    </row>
    <row r="14" spans="1:17">
      <c r="A14" s="273"/>
      <c r="B14" s="262"/>
      <c r="C14" s="262"/>
      <c r="D14" s="262" t="s">
        <v>784</v>
      </c>
      <c r="E14" s="296">
        <v>150</v>
      </c>
      <c r="F14" s="265"/>
      <c r="G14" s="265"/>
      <c r="H14" s="262"/>
      <c r="I14" s="266">
        <f>G7/30</f>
        <v>96.416666666666671</v>
      </c>
      <c r="J14" s="267" t="s">
        <v>16</v>
      </c>
      <c r="K14" s="262"/>
      <c r="L14" s="744">
        <v>3075</v>
      </c>
      <c r="M14" s="262"/>
      <c r="N14" s="282">
        <f>I14*L14</f>
        <v>296481.25</v>
      </c>
      <c r="O14" s="277"/>
      <c r="P14" s="262"/>
      <c r="Q14" s="282">
        <f>N14</f>
        <v>296481.25</v>
      </c>
    </row>
    <row r="15" spans="1:17">
      <c r="A15" s="273"/>
      <c r="B15" s="262"/>
      <c r="C15" s="278"/>
      <c r="D15" s="262"/>
      <c r="E15" s="753"/>
      <c r="F15" s="753"/>
      <c r="G15" s="747"/>
      <c r="H15" s="262"/>
      <c r="I15" s="262"/>
      <c r="J15" s="262"/>
      <c r="K15" s="262"/>
      <c r="L15" s="262"/>
      <c r="M15" s="262"/>
      <c r="N15" s="262"/>
      <c r="O15" s="277"/>
      <c r="P15" s="262"/>
      <c r="Q15" s="262"/>
    </row>
    <row r="16" spans="1:17">
      <c r="A16" s="273"/>
      <c r="B16" s="262"/>
      <c r="C16" s="278"/>
      <c r="D16" s="262"/>
      <c r="E16" s="753"/>
      <c r="F16" s="753"/>
      <c r="G16" s="747"/>
      <c r="H16" s="262"/>
      <c r="I16" s="262"/>
      <c r="J16" s="262"/>
      <c r="K16" s="262"/>
      <c r="L16" s="262"/>
      <c r="M16" s="262"/>
      <c r="N16" s="262"/>
      <c r="O16" s="277"/>
      <c r="P16" s="262"/>
      <c r="Q16" s="262"/>
    </row>
    <row r="17" spans="1:18">
      <c r="A17" s="273"/>
      <c r="B17" s="262"/>
      <c r="D17" s="751" t="s">
        <v>348</v>
      </c>
      <c r="E17" s="296"/>
      <c r="F17" s="265"/>
      <c r="G17" s="265"/>
      <c r="H17" s="262"/>
      <c r="I17" s="266"/>
      <c r="J17" s="267"/>
      <c r="K17" s="262"/>
      <c r="L17" s="265"/>
      <c r="M17" s="262"/>
      <c r="N17" s="282"/>
      <c r="O17" s="277"/>
    </row>
    <row r="18" spans="1:18">
      <c r="A18" s="273"/>
      <c r="B18" s="262"/>
      <c r="C18" s="262" t="s">
        <v>335</v>
      </c>
      <c r="D18" s="262"/>
      <c r="E18" s="296"/>
      <c r="F18" s="265"/>
      <c r="G18" s="265"/>
      <c r="H18" s="262"/>
      <c r="I18" s="266"/>
      <c r="J18" s="267"/>
      <c r="K18" s="262"/>
      <c r="L18" s="265"/>
      <c r="M18" s="262"/>
      <c r="N18" s="282"/>
      <c r="O18" s="277"/>
    </row>
    <row r="19" spans="1:18">
      <c r="A19" s="273"/>
      <c r="B19" s="262"/>
      <c r="C19" s="262"/>
      <c r="D19" s="262" t="s">
        <v>336</v>
      </c>
      <c r="E19" s="296">
        <v>150</v>
      </c>
      <c r="F19" s="265"/>
      <c r="G19" s="265">
        <v>12</v>
      </c>
      <c r="H19" s="262"/>
      <c r="I19" s="266">
        <f>$G$6/15*G19</f>
        <v>356</v>
      </c>
      <c r="J19" s="267" t="s">
        <v>4</v>
      </c>
      <c r="K19" s="262"/>
      <c r="L19" s="265">
        <f>'Surface Water Sewers'!L37</f>
        <v>67.438477199999994</v>
      </c>
      <c r="M19" s="262"/>
      <c r="N19" s="282">
        <f>I19*L19</f>
        <v>24008.097883199996</v>
      </c>
      <c r="O19" s="277"/>
    </row>
    <row r="20" spans="1:18">
      <c r="A20" s="273"/>
      <c r="B20" s="262"/>
      <c r="C20" s="262"/>
      <c r="D20" s="262"/>
      <c r="E20" s="296"/>
      <c r="F20" s="265"/>
      <c r="G20" s="265"/>
      <c r="H20" s="262"/>
      <c r="I20" s="266"/>
      <c r="J20" s="267"/>
      <c r="K20" s="262"/>
      <c r="L20" s="265"/>
      <c r="M20" s="262"/>
      <c r="N20" s="282"/>
      <c r="O20" s="277"/>
    </row>
    <row r="21" spans="1:18">
      <c r="A21" s="273"/>
      <c r="B21" s="262"/>
      <c r="C21" s="262"/>
      <c r="D21" s="262" t="s">
        <v>337</v>
      </c>
      <c r="E21" s="296"/>
      <c r="F21" s="265"/>
      <c r="G21" s="265">
        <v>1</v>
      </c>
      <c r="H21" s="262"/>
      <c r="I21" s="266">
        <f>I24</f>
        <v>29.666666666666668</v>
      </c>
      <c r="J21" s="267" t="s">
        <v>19</v>
      </c>
      <c r="K21" s="262"/>
      <c r="L21" s="265">
        <f>'Surface Water Sewers'!L39</f>
        <v>25</v>
      </c>
      <c r="M21" s="262"/>
      <c r="N21" s="282">
        <f>I21*L21</f>
        <v>741.66666666666674</v>
      </c>
      <c r="O21" s="277"/>
    </row>
    <row r="22" spans="1:18">
      <c r="A22" s="273"/>
      <c r="B22" s="262"/>
      <c r="C22" s="262"/>
      <c r="D22" s="262"/>
      <c r="E22" s="296"/>
      <c r="F22" s="265"/>
      <c r="G22" s="265"/>
      <c r="H22" s="262"/>
      <c r="I22" s="266"/>
      <c r="J22" s="267"/>
      <c r="K22" s="262"/>
      <c r="L22" s="265"/>
      <c r="M22" s="262"/>
      <c r="N22" s="282"/>
      <c r="O22" s="277"/>
    </row>
    <row r="23" spans="1:18">
      <c r="A23" s="273"/>
      <c r="B23" s="262"/>
      <c r="C23" s="262"/>
      <c r="D23" s="262"/>
      <c r="E23" s="296"/>
      <c r="F23" s="265"/>
      <c r="G23" s="265"/>
      <c r="H23" s="262"/>
      <c r="I23" s="266"/>
      <c r="J23" s="267"/>
      <c r="K23" s="262"/>
      <c r="L23" s="265"/>
      <c r="M23" s="262"/>
      <c r="N23" s="282"/>
      <c r="O23" s="277"/>
    </row>
    <row r="24" spans="1:18">
      <c r="A24" s="273"/>
      <c r="B24" s="262"/>
      <c r="C24" s="262" t="s">
        <v>348</v>
      </c>
      <c r="D24" s="262"/>
      <c r="E24" s="296"/>
      <c r="F24" s="265"/>
      <c r="G24" s="265">
        <v>1</v>
      </c>
      <c r="H24" s="262"/>
      <c r="I24" s="266">
        <f>$G$6/15</f>
        <v>29.666666666666668</v>
      </c>
      <c r="J24" s="267" t="s">
        <v>19</v>
      </c>
      <c r="K24" s="262"/>
      <c r="L24" s="265">
        <f>'Surface Water Sewers'!L42</f>
        <v>350</v>
      </c>
      <c r="M24" s="262"/>
      <c r="N24" s="282">
        <f>I24*L24</f>
        <v>10383.333333333334</v>
      </c>
      <c r="O24" s="277"/>
    </row>
    <row r="25" spans="1:18">
      <c r="A25" s="273"/>
      <c r="B25" s="262"/>
      <c r="C25" s="262" t="s">
        <v>338</v>
      </c>
      <c r="D25" s="262"/>
      <c r="E25" s="296"/>
      <c r="F25" s="265"/>
      <c r="G25" s="265"/>
      <c r="H25" s="262"/>
      <c r="I25" s="266"/>
      <c r="J25" s="267"/>
      <c r="K25" s="262"/>
      <c r="L25" s="265"/>
      <c r="M25" s="262"/>
      <c r="N25" s="282"/>
      <c r="O25" s="277"/>
    </row>
    <row r="26" spans="1:18">
      <c r="A26" s="273"/>
      <c r="B26" s="262"/>
      <c r="C26" s="262"/>
      <c r="D26" s="262" t="s">
        <v>339</v>
      </c>
      <c r="E26" s="296"/>
      <c r="F26" s="265"/>
      <c r="G26" s="265">
        <v>1</v>
      </c>
      <c r="H26" s="262"/>
      <c r="I26" s="266">
        <f>I24</f>
        <v>29.666666666666668</v>
      </c>
      <c r="J26" s="267" t="s">
        <v>19</v>
      </c>
      <c r="K26" s="262"/>
      <c r="L26" s="265">
        <f>'Surface Water Sewers'!L44</f>
        <v>55</v>
      </c>
      <c r="M26" s="262"/>
      <c r="N26" s="282">
        <f>I26*L26</f>
        <v>1631.6666666666667</v>
      </c>
      <c r="O26" s="277"/>
    </row>
    <row r="27" spans="1:18">
      <c r="A27" s="273"/>
      <c r="B27" s="262"/>
      <c r="C27" s="262"/>
      <c r="D27" s="262" t="s">
        <v>340</v>
      </c>
      <c r="E27" s="296"/>
      <c r="F27" s="265"/>
      <c r="G27" s="265">
        <v>1</v>
      </c>
      <c r="H27" s="262"/>
      <c r="I27" s="266">
        <f>I24</f>
        <v>29.666666666666668</v>
      </c>
      <c r="J27" s="267" t="s">
        <v>19</v>
      </c>
      <c r="K27" s="262"/>
      <c r="L27" s="265">
        <f>'Surface Water Sewers'!L45</f>
        <v>85</v>
      </c>
      <c r="M27" s="262"/>
      <c r="N27" s="282">
        <f>I27*L27</f>
        <v>2521.666666666667</v>
      </c>
      <c r="O27" s="277"/>
    </row>
    <row r="28" spans="1:18">
      <c r="A28" s="273"/>
      <c r="B28" s="262"/>
      <c r="C28" s="262"/>
      <c r="D28" s="262" t="s">
        <v>341</v>
      </c>
      <c r="E28" s="296"/>
      <c r="F28" s="265"/>
      <c r="G28" s="265"/>
      <c r="H28" s="262"/>
      <c r="I28" s="266"/>
      <c r="J28" s="267" t="s">
        <v>19</v>
      </c>
      <c r="K28" s="262"/>
      <c r="L28" s="265"/>
      <c r="M28" s="262"/>
      <c r="N28" s="282">
        <f>I28*L28</f>
        <v>0</v>
      </c>
      <c r="O28" s="277"/>
    </row>
    <row r="29" spans="1:18">
      <c r="A29" s="273"/>
      <c r="B29" s="262"/>
      <c r="C29" s="262"/>
      <c r="D29" s="262"/>
      <c r="E29" s="296"/>
      <c r="F29" s="265"/>
      <c r="G29" s="265"/>
      <c r="H29" s="262"/>
      <c r="I29" s="266"/>
      <c r="J29" s="267"/>
      <c r="K29" s="262"/>
      <c r="L29" s="265"/>
      <c r="M29" s="262"/>
      <c r="N29" s="282"/>
      <c r="O29" s="277"/>
    </row>
    <row r="30" spans="1:18">
      <c r="A30" s="273"/>
      <c r="B30" s="262"/>
      <c r="C30" s="262" t="s">
        <v>349</v>
      </c>
      <c r="D30" s="262"/>
      <c r="E30" s="296"/>
      <c r="F30" s="265"/>
      <c r="G30" s="265"/>
      <c r="H30" s="262"/>
      <c r="I30" s="266"/>
      <c r="J30" s="267" t="s">
        <v>18</v>
      </c>
      <c r="K30" s="262"/>
      <c r="L30" s="265">
        <f>'Surface Water Sewers'!L48</f>
        <v>16.600000000000001</v>
      </c>
      <c r="M30" s="262"/>
      <c r="N30" s="282">
        <f>I30*L30</f>
        <v>0</v>
      </c>
      <c r="O30" s="277"/>
    </row>
    <row r="31" spans="1:18">
      <c r="A31" s="273"/>
      <c r="B31" s="262"/>
      <c r="C31" s="262" t="s">
        <v>350</v>
      </c>
      <c r="D31" s="262"/>
      <c r="E31" s="296"/>
      <c r="F31" s="265"/>
      <c r="G31" s="265"/>
      <c r="H31" s="262"/>
      <c r="I31" s="266"/>
      <c r="J31" s="267" t="s">
        <v>18</v>
      </c>
      <c r="K31" s="262"/>
      <c r="L31" s="265">
        <f>'Surface Water Sewers'!L49</f>
        <v>15</v>
      </c>
      <c r="M31" s="262"/>
      <c r="N31" s="282">
        <f>I31*L31</f>
        <v>0</v>
      </c>
      <c r="O31" s="277"/>
      <c r="Q31" s="86">
        <f>SUM(N19:N31)</f>
        <v>39286.431216533325</v>
      </c>
      <c r="R31" t="s">
        <v>788</v>
      </c>
    </row>
    <row r="32" spans="1:18">
      <c r="A32" s="273"/>
      <c r="B32" s="262"/>
      <c r="C32" s="262"/>
      <c r="D32" s="262"/>
      <c r="E32" s="296"/>
      <c r="F32" s="265"/>
      <c r="G32" s="265"/>
      <c r="H32" s="262"/>
      <c r="I32" s="266"/>
      <c r="J32" s="267"/>
      <c r="K32" s="262"/>
      <c r="L32" s="265"/>
      <c r="M32" s="262"/>
      <c r="N32" s="262"/>
      <c r="O32" s="277"/>
    </row>
    <row r="33" spans="1:15" ht="16" thickBot="1">
      <c r="A33" s="273"/>
      <c r="B33" s="262"/>
      <c r="C33" s="262"/>
      <c r="D33" s="262"/>
      <c r="E33" s="296"/>
      <c r="F33" s="265"/>
      <c r="G33" s="265"/>
      <c r="H33" s="262"/>
      <c r="I33" s="266"/>
      <c r="J33" s="267"/>
      <c r="K33" s="283"/>
      <c r="L33" s="284" t="s">
        <v>308</v>
      </c>
      <c r="M33" s="283" t="s">
        <v>309</v>
      </c>
      <c r="N33" s="285">
        <f>SUM(N11:N31)</f>
        <v>685626.45835529803</v>
      </c>
      <c r="O33" s="277"/>
    </row>
    <row r="34" spans="1:15" ht="17" thickTop="1" thickBot="1">
      <c r="A34" s="286"/>
      <c r="B34" s="287"/>
      <c r="C34" s="287"/>
      <c r="D34" s="287"/>
      <c r="E34" s="300"/>
      <c r="F34" s="289"/>
      <c r="G34" s="289"/>
      <c r="H34" s="287"/>
      <c r="I34" s="290"/>
      <c r="J34" s="291"/>
      <c r="K34" s="287"/>
      <c r="L34" s="289"/>
      <c r="M34" s="287"/>
      <c r="N34" s="287"/>
      <c r="O34" s="292"/>
    </row>
    <row r="35" spans="1:15" hidden="1">
      <c r="A35" s="269"/>
      <c r="B35" s="270"/>
      <c r="C35" s="270"/>
      <c r="D35" s="270"/>
      <c r="E35" s="301"/>
      <c r="F35" s="294"/>
      <c r="G35" s="294"/>
      <c r="H35" s="270"/>
      <c r="I35" s="295"/>
      <c r="J35" s="271"/>
      <c r="K35" s="270"/>
      <c r="L35" s="294"/>
      <c r="M35" s="270"/>
      <c r="N35" s="270"/>
      <c r="O35" s="272"/>
    </row>
    <row r="36" spans="1:15" ht="15" hidden="1" customHeight="1">
      <c r="A36" s="273"/>
      <c r="B36" s="274" t="s">
        <v>351</v>
      </c>
      <c r="C36" s="275"/>
      <c r="D36" s="275"/>
      <c r="E36" s="298"/>
      <c r="F36" s="275"/>
      <c r="G36" s="262"/>
      <c r="H36" s="262"/>
      <c r="I36" s="266"/>
      <c r="J36" s="1175" t="s">
        <v>279</v>
      </c>
      <c r="K36" s="1176"/>
      <c r="L36" s="1176"/>
      <c r="M36" s="1177"/>
      <c r="N36" s="738" t="e">
        <f>N154/G37</f>
        <v>#DIV/0!</v>
      </c>
      <c r="O36" s="277"/>
    </row>
    <row r="37" spans="1:15" ht="15" hidden="1" customHeight="1">
      <c r="A37" s="273"/>
      <c r="B37" s="262"/>
      <c r="C37" s="278"/>
      <c r="D37" s="262"/>
      <c r="E37" s="1178" t="s">
        <v>252</v>
      </c>
      <c r="F37" s="1179"/>
      <c r="G37" s="750">
        <v>0</v>
      </c>
      <c r="H37" s="262" t="s">
        <v>4</v>
      </c>
      <c r="I37" s="262"/>
      <c r="J37" s="262"/>
      <c r="K37" s="262"/>
      <c r="L37" s="262"/>
      <c r="M37" s="262"/>
      <c r="N37" s="262"/>
      <c r="O37" s="277"/>
    </row>
    <row r="38" spans="1:15" hidden="1">
      <c r="A38" s="273"/>
      <c r="B38" s="262"/>
      <c r="C38" s="262" t="s">
        <v>335</v>
      </c>
      <c r="D38" s="262"/>
      <c r="E38" s="296"/>
      <c r="F38" s="280"/>
      <c r="G38" s="280"/>
      <c r="H38" s="262"/>
      <c r="I38" s="281"/>
      <c r="J38" s="267"/>
      <c r="K38" s="267"/>
      <c r="L38" s="280"/>
      <c r="M38" s="262"/>
      <c r="N38" s="267"/>
      <c r="O38" s="277"/>
    </row>
    <row r="39" spans="1:15" hidden="1">
      <c r="A39" s="273"/>
      <c r="B39" s="262"/>
      <c r="C39" s="262"/>
      <c r="D39" s="262" t="s">
        <v>336</v>
      </c>
      <c r="E39" s="296">
        <v>150</v>
      </c>
      <c r="F39" s="265"/>
      <c r="G39" s="265"/>
      <c r="H39" s="262"/>
      <c r="I39" s="266"/>
      <c r="J39" s="267" t="s">
        <v>4</v>
      </c>
      <c r="K39" s="262"/>
      <c r="L39" s="265">
        <v>62</v>
      </c>
      <c r="M39" s="262"/>
      <c r="N39" s="282">
        <f>I39*L39</f>
        <v>0</v>
      </c>
      <c r="O39" s="277"/>
    </row>
    <row r="40" spans="1:15" hidden="1">
      <c r="A40" s="273"/>
      <c r="B40" s="262"/>
      <c r="C40" s="262"/>
      <c r="D40" s="262" t="s">
        <v>352</v>
      </c>
      <c r="E40" s="296">
        <v>150</v>
      </c>
      <c r="F40" s="265"/>
      <c r="G40" s="265"/>
      <c r="H40" s="262"/>
      <c r="I40" s="266">
        <f>G37*0.2</f>
        <v>0</v>
      </c>
      <c r="J40" s="267" t="s">
        <v>4</v>
      </c>
      <c r="K40" s="262"/>
      <c r="L40" s="265">
        <v>105</v>
      </c>
      <c r="M40" s="262"/>
      <c r="N40" s="282">
        <f>I40*L40</f>
        <v>0</v>
      </c>
      <c r="O40" s="277"/>
    </row>
    <row r="41" spans="1:15" hidden="1">
      <c r="A41" s="273"/>
      <c r="B41" s="262"/>
      <c r="C41" s="262"/>
      <c r="D41" s="262" t="s">
        <v>353</v>
      </c>
      <c r="E41" s="296">
        <v>150</v>
      </c>
      <c r="F41" s="265"/>
      <c r="G41" s="265"/>
      <c r="H41" s="262"/>
      <c r="I41" s="266"/>
      <c r="J41" s="267" t="s">
        <v>4</v>
      </c>
      <c r="K41" s="262"/>
      <c r="L41" s="265">
        <v>166</v>
      </c>
      <c r="M41" s="262"/>
      <c r="N41" s="282">
        <f>I41*L41</f>
        <v>0</v>
      </c>
      <c r="O41" s="277"/>
    </row>
    <row r="42" spans="1:15" hidden="1">
      <c r="A42" s="273"/>
      <c r="B42" s="262"/>
      <c r="C42" s="262"/>
      <c r="D42" s="262" t="s">
        <v>354</v>
      </c>
      <c r="E42" s="296">
        <v>150</v>
      </c>
      <c r="F42" s="265"/>
      <c r="G42" s="265"/>
      <c r="H42" s="262"/>
      <c r="I42" s="266"/>
      <c r="J42" s="267" t="s">
        <v>4</v>
      </c>
      <c r="K42" s="262"/>
      <c r="L42" s="265">
        <v>213</v>
      </c>
      <c r="M42" s="262"/>
      <c r="N42" s="282">
        <f>I42*L42</f>
        <v>0</v>
      </c>
      <c r="O42" s="277"/>
    </row>
    <row r="43" spans="1:15" hidden="1">
      <c r="A43" s="273"/>
      <c r="B43" s="262"/>
      <c r="C43" s="262"/>
      <c r="D43" s="262"/>
      <c r="E43" s="296"/>
      <c r="F43" s="265"/>
      <c r="G43" s="265"/>
      <c r="H43" s="262"/>
      <c r="I43" s="266"/>
      <c r="J43" s="267"/>
      <c r="K43" s="262"/>
      <c r="L43" s="265"/>
      <c r="M43" s="262"/>
      <c r="N43" s="282"/>
      <c r="O43" s="277"/>
    </row>
    <row r="44" spans="1:15" hidden="1">
      <c r="A44" s="273"/>
      <c r="B44" s="262"/>
      <c r="C44" s="262" t="s">
        <v>335</v>
      </c>
      <c r="D44" s="262"/>
      <c r="E44" s="296"/>
      <c r="F44" s="265"/>
      <c r="G44" s="265"/>
      <c r="H44" s="262"/>
      <c r="I44" s="266"/>
      <c r="J44" s="267"/>
      <c r="K44" s="262"/>
      <c r="L44" s="265"/>
      <c r="M44" s="262"/>
      <c r="N44" s="282"/>
      <c r="O44" s="277"/>
    </row>
    <row r="45" spans="1:15" hidden="1">
      <c r="A45" s="273"/>
      <c r="B45" s="262"/>
      <c r="C45" s="262"/>
      <c r="D45" s="262" t="s">
        <v>336</v>
      </c>
      <c r="E45" s="296">
        <v>225</v>
      </c>
      <c r="F45" s="265"/>
      <c r="G45" s="265"/>
      <c r="H45" s="262"/>
      <c r="I45" s="266"/>
      <c r="J45" s="267" t="s">
        <v>4</v>
      </c>
      <c r="K45" s="262"/>
      <c r="L45" s="265">
        <v>80</v>
      </c>
      <c r="M45" s="262"/>
      <c r="N45" s="282">
        <f>I45*L45</f>
        <v>0</v>
      </c>
      <c r="O45" s="277"/>
    </row>
    <row r="46" spans="1:15" hidden="1">
      <c r="A46" s="273"/>
      <c r="B46" s="262"/>
      <c r="C46" s="262"/>
      <c r="D46" s="262" t="s">
        <v>352</v>
      </c>
      <c r="E46" s="296">
        <v>225</v>
      </c>
      <c r="F46" s="265"/>
      <c r="G46" s="265"/>
      <c r="H46" s="262"/>
      <c r="I46" s="266">
        <f>G37*0.4</f>
        <v>0</v>
      </c>
      <c r="J46" s="267" t="s">
        <v>4</v>
      </c>
      <c r="K46" s="262"/>
      <c r="L46" s="265">
        <v>120</v>
      </c>
      <c r="M46" s="262"/>
      <c r="N46" s="282">
        <f>I46*L46</f>
        <v>0</v>
      </c>
      <c r="O46" s="277"/>
    </row>
    <row r="47" spans="1:15" hidden="1">
      <c r="A47" s="273"/>
      <c r="B47" s="262"/>
      <c r="C47" s="262"/>
      <c r="D47" s="262" t="s">
        <v>353</v>
      </c>
      <c r="E47" s="296">
        <v>225</v>
      </c>
      <c r="F47" s="265"/>
      <c r="G47" s="265"/>
      <c r="H47" s="262"/>
      <c r="I47" s="266"/>
      <c r="J47" s="267" t="s">
        <v>4</v>
      </c>
      <c r="K47" s="262"/>
      <c r="L47" s="265">
        <v>180</v>
      </c>
      <c r="M47" s="262"/>
      <c r="N47" s="282">
        <f>I47*L47</f>
        <v>0</v>
      </c>
      <c r="O47" s="277"/>
    </row>
    <row r="48" spans="1:15" hidden="1">
      <c r="A48" s="273"/>
      <c r="B48" s="262"/>
      <c r="C48" s="262"/>
      <c r="D48" s="262" t="s">
        <v>354</v>
      </c>
      <c r="E48" s="296">
        <v>225</v>
      </c>
      <c r="F48" s="265"/>
      <c r="G48" s="265"/>
      <c r="H48" s="262"/>
      <c r="I48" s="266"/>
      <c r="J48" s="267" t="s">
        <v>4</v>
      </c>
      <c r="K48" s="262"/>
      <c r="L48" s="265">
        <v>240</v>
      </c>
      <c r="M48" s="262"/>
      <c r="N48" s="282">
        <f>I48*L48</f>
        <v>0</v>
      </c>
      <c r="O48" s="277"/>
    </row>
    <row r="49" spans="1:15" hidden="1">
      <c r="A49" s="273"/>
      <c r="B49" s="262"/>
      <c r="C49" s="262"/>
      <c r="D49" s="262"/>
      <c r="E49" s="296"/>
      <c r="F49" s="265"/>
      <c r="G49" s="265"/>
      <c r="H49" s="262"/>
      <c r="I49" s="266"/>
      <c r="J49" s="267"/>
      <c r="K49" s="262"/>
      <c r="L49" s="265"/>
      <c r="M49" s="262"/>
      <c r="N49" s="282"/>
      <c r="O49" s="277"/>
    </row>
    <row r="50" spans="1:15" hidden="1">
      <c r="A50" s="273"/>
      <c r="B50" s="262"/>
      <c r="C50" s="262" t="s">
        <v>335</v>
      </c>
      <c r="D50" s="262"/>
      <c r="E50" s="296"/>
      <c r="F50" s="265"/>
      <c r="G50" s="265"/>
      <c r="H50" s="262"/>
      <c r="I50" s="266"/>
      <c r="J50" s="267"/>
      <c r="K50" s="262"/>
      <c r="L50" s="265"/>
      <c r="M50" s="262"/>
      <c r="N50" s="282"/>
      <c r="O50" s="277"/>
    </row>
    <row r="51" spans="1:15" hidden="1">
      <c r="A51" s="273"/>
      <c r="B51" s="262"/>
      <c r="C51" s="262"/>
      <c r="D51" s="262" t="s">
        <v>336</v>
      </c>
      <c r="E51" s="296">
        <v>300</v>
      </c>
      <c r="F51" s="265"/>
      <c r="G51" s="265"/>
      <c r="H51" s="262"/>
      <c r="I51" s="266"/>
      <c r="J51" s="267" t="s">
        <v>4</v>
      </c>
      <c r="K51" s="262"/>
      <c r="L51" s="265">
        <v>95</v>
      </c>
      <c r="M51" s="262"/>
      <c r="N51" s="282">
        <f>I51*L51</f>
        <v>0</v>
      </c>
      <c r="O51" s="277"/>
    </row>
    <row r="52" spans="1:15" hidden="1">
      <c r="A52" s="273"/>
      <c r="B52" s="262"/>
      <c r="C52" s="262"/>
      <c r="D52" s="262" t="s">
        <v>352</v>
      </c>
      <c r="E52" s="296">
        <v>300</v>
      </c>
      <c r="F52" s="265"/>
      <c r="G52" s="265"/>
      <c r="H52" s="262"/>
      <c r="I52" s="266"/>
      <c r="J52" s="267" t="s">
        <v>4</v>
      </c>
      <c r="K52" s="262"/>
      <c r="L52" s="265">
        <v>134</v>
      </c>
      <c r="M52" s="262"/>
      <c r="N52" s="282">
        <f>I52*L52</f>
        <v>0</v>
      </c>
      <c r="O52" s="277"/>
    </row>
    <row r="53" spans="1:15" hidden="1">
      <c r="A53" s="273"/>
      <c r="B53" s="262"/>
      <c r="C53" s="262"/>
      <c r="D53" s="262" t="s">
        <v>353</v>
      </c>
      <c r="E53" s="296">
        <v>300</v>
      </c>
      <c r="F53" s="265"/>
      <c r="G53" s="265"/>
      <c r="H53" s="262"/>
      <c r="I53" s="266"/>
      <c r="J53" s="267" t="s">
        <v>4</v>
      </c>
      <c r="K53" s="262"/>
      <c r="L53" s="265">
        <v>182</v>
      </c>
      <c r="M53" s="262"/>
      <c r="N53" s="282">
        <f>I53*L53</f>
        <v>0</v>
      </c>
      <c r="O53" s="277"/>
    </row>
    <row r="54" spans="1:15" hidden="1">
      <c r="A54" s="273"/>
      <c r="B54" s="262"/>
      <c r="C54" s="262"/>
      <c r="D54" s="262" t="s">
        <v>354</v>
      </c>
      <c r="E54" s="296">
        <v>300</v>
      </c>
      <c r="F54" s="265"/>
      <c r="G54" s="265"/>
      <c r="H54" s="262"/>
      <c r="I54" s="266"/>
      <c r="J54" s="267" t="s">
        <v>4</v>
      </c>
      <c r="K54" s="262"/>
      <c r="L54" s="265">
        <v>234</v>
      </c>
      <c r="M54" s="262"/>
      <c r="N54" s="282">
        <f>I54*L54</f>
        <v>0</v>
      </c>
      <c r="O54" s="277"/>
    </row>
    <row r="55" spans="1:15" hidden="1">
      <c r="A55" s="273"/>
      <c r="B55" s="262"/>
      <c r="C55" s="262"/>
      <c r="D55" s="262"/>
      <c r="E55" s="296"/>
      <c r="F55" s="265"/>
      <c r="G55" s="265"/>
      <c r="H55" s="262"/>
      <c r="I55" s="266"/>
      <c r="J55" s="267"/>
      <c r="K55" s="262"/>
      <c r="L55" s="265"/>
      <c r="M55" s="262"/>
      <c r="N55" s="282"/>
      <c r="O55" s="277"/>
    </row>
    <row r="56" spans="1:15" hidden="1">
      <c r="A56" s="273"/>
      <c r="B56" s="262"/>
      <c r="C56" s="262" t="s">
        <v>335</v>
      </c>
      <c r="D56" s="262"/>
      <c r="E56" s="296"/>
      <c r="F56" s="265"/>
      <c r="G56" s="265"/>
      <c r="H56" s="262"/>
      <c r="I56" s="266"/>
      <c r="J56" s="267"/>
      <c r="K56" s="262"/>
      <c r="L56" s="265"/>
      <c r="M56" s="262"/>
      <c r="N56" s="282"/>
      <c r="O56" s="277"/>
    </row>
    <row r="57" spans="1:15" hidden="1">
      <c r="A57" s="273"/>
      <c r="B57" s="262"/>
      <c r="C57" s="262"/>
      <c r="D57" s="262" t="s">
        <v>336</v>
      </c>
      <c r="E57" s="296">
        <v>375</v>
      </c>
      <c r="F57" s="265"/>
      <c r="G57" s="265"/>
      <c r="H57" s="262"/>
      <c r="I57" s="266"/>
      <c r="J57" s="267" t="s">
        <v>4</v>
      </c>
      <c r="K57" s="262"/>
      <c r="L57" s="265">
        <v>107</v>
      </c>
      <c r="M57" s="262"/>
      <c r="N57" s="282">
        <f>I57*L57</f>
        <v>0</v>
      </c>
      <c r="O57" s="277"/>
    </row>
    <row r="58" spans="1:15" hidden="1">
      <c r="A58" s="273"/>
      <c r="B58" s="262"/>
      <c r="C58" s="262"/>
      <c r="D58" s="262" t="s">
        <v>352</v>
      </c>
      <c r="E58" s="296">
        <v>375</v>
      </c>
      <c r="F58" s="265"/>
      <c r="G58" s="265"/>
      <c r="H58" s="262"/>
      <c r="I58" s="266">
        <f>G37*0.2</f>
        <v>0</v>
      </c>
      <c r="J58" s="267" t="s">
        <v>4</v>
      </c>
      <c r="K58" s="262"/>
      <c r="L58" s="265">
        <v>146</v>
      </c>
      <c r="M58" s="262"/>
      <c r="N58" s="282">
        <f>I58*L58</f>
        <v>0</v>
      </c>
      <c r="O58" s="277"/>
    </row>
    <row r="59" spans="1:15" hidden="1">
      <c r="A59" s="273"/>
      <c r="B59" s="262"/>
      <c r="C59" s="262"/>
      <c r="D59" s="262" t="s">
        <v>353</v>
      </c>
      <c r="E59" s="296">
        <v>375</v>
      </c>
      <c r="F59" s="265"/>
      <c r="G59" s="265"/>
      <c r="H59" s="262"/>
      <c r="I59" s="266"/>
      <c r="J59" s="267" t="s">
        <v>4</v>
      </c>
      <c r="K59" s="262"/>
      <c r="L59" s="265">
        <v>194</v>
      </c>
      <c r="M59" s="262"/>
      <c r="N59" s="282">
        <f>I59*L59</f>
        <v>0</v>
      </c>
      <c r="O59" s="277"/>
    </row>
    <row r="60" spans="1:15" hidden="1">
      <c r="A60" s="273"/>
      <c r="B60" s="262"/>
      <c r="C60" s="262"/>
      <c r="D60" s="262" t="s">
        <v>354</v>
      </c>
      <c r="E60" s="296">
        <v>375</v>
      </c>
      <c r="F60" s="265"/>
      <c r="G60" s="265"/>
      <c r="H60" s="262"/>
      <c r="I60" s="266"/>
      <c r="J60" s="267" t="s">
        <v>4</v>
      </c>
      <c r="K60" s="262"/>
      <c r="L60" s="265">
        <v>246</v>
      </c>
      <c r="M60" s="262"/>
      <c r="N60" s="282">
        <f>I60*L60</f>
        <v>0</v>
      </c>
      <c r="O60" s="277"/>
    </row>
    <row r="61" spans="1:15" hidden="1">
      <c r="A61" s="273"/>
      <c r="B61" s="262"/>
      <c r="C61" s="262"/>
      <c r="D61" s="262"/>
      <c r="E61" s="296"/>
      <c r="F61" s="265"/>
      <c r="G61" s="265"/>
      <c r="H61" s="262"/>
      <c r="I61" s="266"/>
      <c r="J61" s="267"/>
      <c r="K61" s="262"/>
      <c r="L61" s="265"/>
      <c r="M61" s="262"/>
      <c r="N61" s="282"/>
      <c r="O61" s="277"/>
    </row>
    <row r="62" spans="1:15" hidden="1">
      <c r="A62" s="273"/>
      <c r="B62" s="262"/>
      <c r="C62" s="262" t="s">
        <v>335</v>
      </c>
      <c r="D62" s="262"/>
      <c r="E62" s="296"/>
      <c r="F62" s="265"/>
      <c r="G62" s="265"/>
      <c r="H62" s="262"/>
      <c r="I62" s="266"/>
      <c r="J62" s="267"/>
      <c r="K62" s="262"/>
      <c r="L62" s="265"/>
      <c r="M62" s="262"/>
      <c r="N62" s="282"/>
      <c r="O62" s="277"/>
    </row>
    <row r="63" spans="1:15" hidden="1">
      <c r="A63" s="273"/>
      <c r="B63" s="262"/>
      <c r="C63" s="262"/>
      <c r="D63" s="262" t="s">
        <v>336</v>
      </c>
      <c r="E63" s="296">
        <v>450</v>
      </c>
      <c r="F63" s="265"/>
      <c r="G63" s="265"/>
      <c r="H63" s="262"/>
      <c r="I63" s="266"/>
      <c r="J63" s="267" t="s">
        <v>4</v>
      </c>
      <c r="K63" s="262"/>
      <c r="L63" s="265">
        <v>121</v>
      </c>
      <c r="M63" s="262"/>
      <c r="N63" s="282">
        <f>I63*L63</f>
        <v>0</v>
      </c>
      <c r="O63" s="277"/>
    </row>
    <row r="64" spans="1:15" hidden="1">
      <c r="A64" s="273"/>
      <c r="B64" s="262"/>
      <c r="C64" s="262"/>
      <c r="D64" s="262" t="s">
        <v>352</v>
      </c>
      <c r="E64" s="296">
        <v>450</v>
      </c>
      <c r="F64" s="265"/>
      <c r="G64" s="265"/>
      <c r="H64" s="262"/>
      <c r="I64" s="266"/>
      <c r="J64" s="267" t="s">
        <v>4</v>
      </c>
      <c r="K64" s="262"/>
      <c r="L64" s="265">
        <v>160</v>
      </c>
      <c r="M64" s="262"/>
      <c r="N64" s="282">
        <f>I64*L64</f>
        <v>0</v>
      </c>
      <c r="O64" s="277"/>
    </row>
    <row r="65" spans="1:15" hidden="1">
      <c r="A65" s="273"/>
      <c r="B65" s="262"/>
      <c r="C65" s="262"/>
      <c r="D65" s="262" t="s">
        <v>353</v>
      </c>
      <c r="E65" s="296">
        <v>450</v>
      </c>
      <c r="F65" s="265"/>
      <c r="G65" s="265"/>
      <c r="H65" s="262"/>
      <c r="I65" s="266">
        <f>G37*0.2</f>
        <v>0</v>
      </c>
      <c r="J65" s="267" t="s">
        <v>4</v>
      </c>
      <c r="K65" s="262"/>
      <c r="L65" s="265">
        <v>208</v>
      </c>
      <c r="M65" s="262"/>
      <c r="N65" s="282">
        <f>I65*L65</f>
        <v>0</v>
      </c>
      <c r="O65" s="277"/>
    </row>
    <row r="66" spans="1:15" hidden="1">
      <c r="A66" s="273"/>
      <c r="B66" s="262"/>
      <c r="C66" s="262"/>
      <c r="D66" s="262" t="s">
        <v>354</v>
      </c>
      <c r="E66" s="296">
        <v>450</v>
      </c>
      <c r="F66" s="265"/>
      <c r="G66" s="265"/>
      <c r="H66" s="262"/>
      <c r="I66" s="266"/>
      <c r="J66" s="267" t="s">
        <v>4</v>
      </c>
      <c r="K66" s="262"/>
      <c r="L66" s="265">
        <v>260</v>
      </c>
      <c r="M66" s="262"/>
      <c r="N66" s="282">
        <f>I66*L66</f>
        <v>0</v>
      </c>
      <c r="O66" s="277"/>
    </row>
    <row r="67" spans="1:15" hidden="1">
      <c r="A67" s="273"/>
      <c r="B67" s="262"/>
      <c r="C67" s="262"/>
      <c r="D67" s="262"/>
      <c r="E67" s="296"/>
      <c r="F67" s="265"/>
      <c r="G67" s="265"/>
      <c r="H67" s="262"/>
      <c r="I67" s="266"/>
      <c r="J67" s="267"/>
      <c r="K67" s="262"/>
      <c r="L67" s="265"/>
      <c r="M67" s="262"/>
      <c r="N67" s="282"/>
      <c r="O67" s="277"/>
    </row>
    <row r="68" spans="1:15" hidden="1">
      <c r="A68" s="273"/>
      <c r="B68" s="262"/>
      <c r="C68" s="262" t="s">
        <v>335</v>
      </c>
      <c r="D68" s="262"/>
      <c r="E68" s="296"/>
      <c r="F68" s="265"/>
      <c r="G68" s="265"/>
      <c r="H68" s="262"/>
      <c r="I68" s="266"/>
      <c r="J68" s="267"/>
      <c r="K68" s="262"/>
      <c r="L68" s="265"/>
      <c r="M68" s="262"/>
      <c r="N68" s="282"/>
      <c r="O68" s="277"/>
    </row>
    <row r="69" spans="1:15" hidden="1">
      <c r="A69" s="273"/>
      <c r="B69" s="262"/>
      <c r="C69" s="262"/>
      <c r="D69" s="262" t="s">
        <v>336</v>
      </c>
      <c r="E69" s="296">
        <v>525</v>
      </c>
      <c r="F69" s="265"/>
      <c r="G69" s="265"/>
      <c r="H69" s="262"/>
      <c r="I69" s="266"/>
      <c r="J69" s="267" t="s">
        <v>4</v>
      </c>
      <c r="K69" s="262"/>
      <c r="L69" s="265">
        <v>137</v>
      </c>
      <c r="M69" s="262"/>
      <c r="N69" s="282">
        <f>I69*L69</f>
        <v>0</v>
      </c>
      <c r="O69" s="277"/>
    </row>
    <row r="70" spans="1:15" hidden="1">
      <c r="A70" s="273"/>
      <c r="B70" s="262"/>
      <c r="C70" s="262"/>
      <c r="D70" s="262" t="s">
        <v>352</v>
      </c>
      <c r="E70" s="296">
        <v>525</v>
      </c>
      <c r="F70" s="265"/>
      <c r="G70" s="265"/>
      <c r="H70" s="262"/>
      <c r="I70" s="266"/>
      <c r="J70" s="267" t="s">
        <v>4</v>
      </c>
      <c r="K70" s="262"/>
      <c r="L70" s="265">
        <v>176</v>
      </c>
      <c r="M70" s="262"/>
      <c r="N70" s="282">
        <f>I70*L70</f>
        <v>0</v>
      </c>
      <c r="O70" s="277"/>
    </row>
    <row r="71" spans="1:15" hidden="1">
      <c r="A71" s="273"/>
      <c r="B71" s="262"/>
      <c r="C71" s="262"/>
      <c r="D71" s="262" t="s">
        <v>353</v>
      </c>
      <c r="E71" s="296">
        <v>525</v>
      </c>
      <c r="F71" s="265"/>
      <c r="G71" s="265"/>
      <c r="H71" s="262"/>
      <c r="I71" s="266"/>
      <c r="J71" s="267" t="s">
        <v>4</v>
      </c>
      <c r="K71" s="262"/>
      <c r="L71" s="265">
        <v>224</v>
      </c>
      <c r="M71" s="262"/>
      <c r="N71" s="282">
        <f>I71*L71</f>
        <v>0</v>
      </c>
      <c r="O71" s="277"/>
    </row>
    <row r="72" spans="1:15" hidden="1">
      <c r="A72" s="273"/>
      <c r="B72" s="262"/>
      <c r="C72" s="262"/>
      <c r="D72" s="262" t="s">
        <v>354</v>
      </c>
      <c r="E72" s="296">
        <v>525</v>
      </c>
      <c r="F72" s="265"/>
      <c r="G72" s="265"/>
      <c r="H72" s="262"/>
      <c r="I72" s="266"/>
      <c r="J72" s="267" t="s">
        <v>4</v>
      </c>
      <c r="K72" s="262"/>
      <c r="L72" s="265">
        <v>276</v>
      </c>
      <c r="M72" s="262"/>
      <c r="N72" s="282">
        <f>I72*L72</f>
        <v>0</v>
      </c>
      <c r="O72" s="277"/>
    </row>
    <row r="73" spans="1:15" hidden="1">
      <c r="A73" s="273"/>
      <c r="B73" s="262"/>
      <c r="C73" s="262"/>
      <c r="D73" s="262"/>
      <c r="E73" s="296"/>
      <c r="F73" s="265"/>
      <c r="G73" s="265"/>
      <c r="H73" s="262"/>
      <c r="I73" s="266"/>
      <c r="J73" s="267"/>
      <c r="K73" s="262"/>
      <c r="L73" s="265"/>
      <c r="M73" s="262"/>
      <c r="N73" s="282"/>
      <c r="O73" s="277"/>
    </row>
    <row r="74" spans="1:15" hidden="1">
      <c r="A74" s="273"/>
      <c r="B74" s="262"/>
      <c r="C74" s="262" t="s">
        <v>335</v>
      </c>
      <c r="D74" s="262"/>
      <c r="E74" s="296"/>
      <c r="F74" s="265"/>
      <c r="G74" s="265"/>
      <c r="H74" s="262"/>
      <c r="I74" s="266"/>
      <c r="J74" s="267"/>
      <c r="K74" s="262"/>
      <c r="L74" s="265"/>
      <c r="M74" s="262"/>
      <c r="N74" s="282"/>
      <c r="O74" s="277"/>
    </row>
    <row r="75" spans="1:15" hidden="1">
      <c r="A75" s="273"/>
      <c r="B75" s="262"/>
      <c r="C75" s="262"/>
      <c r="D75" s="262" t="s">
        <v>336</v>
      </c>
      <c r="E75" s="296">
        <v>600</v>
      </c>
      <c r="F75" s="265"/>
      <c r="G75" s="265"/>
      <c r="H75" s="262"/>
      <c r="I75" s="266"/>
      <c r="J75" s="267" t="s">
        <v>4</v>
      </c>
      <c r="K75" s="262"/>
      <c r="L75" s="265">
        <v>153</v>
      </c>
      <c r="M75" s="262"/>
      <c r="N75" s="282">
        <f>I75*L75</f>
        <v>0</v>
      </c>
      <c r="O75" s="277"/>
    </row>
    <row r="76" spans="1:15" hidden="1">
      <c r="A76" s="273"/>
      <c r="B76" s="262"/>
      <c r="C76" s="262"/>
      <c r="D76" s="262" t="s">
        <v>352</v>
      </c>
      <c r="E76" s="296">
        <v>600</v>
      </c>
      <c r="F76" s="265"/>
      <c r="G76" s="265"/>
      <c r="H76" s="262"/>
      <c r="I76" s="266"/>
      <c r="J76" s="267" t="s">
        <v>4</v>
      </c>
      <c r="K76" s="262"/>
      <c r="L76" s="265">
        <v>192</v>
      </c>
      <c r="M76" s="262"/>
      <c r="N76" s="282">
        <f>I76*L76</f>
        <v>0</v>
      </c>
      <c r="O76" s="277"/>
    </row>
    <row r="77" spans="1:15" hidden="1">
      <c r="A77" s="273"/>
      <c r="B77" s="262"/>
      <c r="C77" s="262"/>
      <c r="D77" s="262" t="s">
        <v>353</v>
      </c>
      <c r="E77" s="296">
        <v>600</v>
      </c>
      <c r="F77" s="265"/>
      <c r="G77" s="265"/>
      <c r="H77" s="262"/>
      <c r="I77" s="266"/>
      <c r="J77" s="267" t="s">
        <v>4</v>
      </c>
      <c r="K77" s="262"/>
      <c r="L77" s="265">
        <v>240</v>
      </c>
      <c r="M77" s="262"/>
      <c r="N77" s="282">
        <f>I77*L77</f>
        <v>0</v>
      </c>
      <c r="O77" s="277"/>
    </row>
    <row r="78" spans="1:15" hidden="1">
      <c r="A78" s="273"/>
      <c r="B78" s="262"/>
      <c r="C78" s="262"/>
      <c r="D78" s="262" t="s">
        <v>354</v>
      </c>
      <c r="E78" s="296">
        <v>600</v>
      </c>
      <c r="F78" s="265"/>
      <c r="G78" s="265"/>
      <c r="H78" s="262"/>
      <c r="I78" s="266"/>
      <c r="J78" s="267" t="s">
        <v>4</v>
      </c>
      <c r="K78" s="262"/>
      <c r="L78" s="265">
        <v>292</v>
      </c>
      <c r="M78" s="262"/>
      <c r="N78" s="282">
        <f>I78*L78</f>
        <v>0</v>
      </c>
      <c r="O78" s="277"/>
    </row>
    <row r="79" spans="1:15" hidden="1">
      <c r="A79" s="273"/>
      <c r="B79" s="262"/>
      <c r="C79" s="262"/>
      <c r="D79" s="262"/>
      <c r="E79" s="296"/>
      <c r="F79" s="265"/>
      <c r="G79" s="265"/>
      <c r="H79" s="262"/>
      <c r="I79" s="266"/>
      <c r="J79" s="267"/>
      <c r="K79" s="262"/>
      <c r="L79" s="265"/>
      <c r="M79" s="262"/>
      <c r="N79" s="282"/>
      <c r="O79" s="277"/>
    </row>
    <row r="80" spans="1:15" hidden="1">
      <c r="A80" s="273"/>
      <c r="B80" s="262"/>
      <c r="C80" s="262" t="s">
        <v>335</v>
      </c>
      <c r="D80" s="262"/>
      <c r="E80" s="296"/>
      <c r="F80" s="265"/>
      <c r="G80" s="265"/>
      <c r="H80" s="262"/>
      <c r="I80" s="266"/>
      <c r="J80" s="267"/>
      <c r="K80" s="262"/>
      <c r="L80" s="265"/>
      <c r="M80" s="262"/>
      <c r="N80" s="282"/>
      <c r="O80" s="277"/>
    </row>
    <row r="81" spans="1:15" hidden="1">
      <c r="A81" s="273"/>
      <c r="B81" s="262"/>
      <c r="C81" s="262"/>
      <c r="D81" s="262" t="s">
        <v>336</v>
      </c>
      <c r="E81" s="296">
        <v>675</v>
      </c>
      <c r="F81" s="265"/>
      <c r="G81" s="265"/>
      <c r="H81" s="262"/>
      <c r="I81" s="266"/>
      <c r="J81" s="267" t="s">
        <v>4</v>
      </c>
      <c r="K81" s="262"/>
      <c r="L81" s="265">
        <v>171</v>
      </c>
      <c r="M81" s="262"/>
      <c r="N81" s="282">
        <f>I81*L81</f>
        <v>0</v>
      </c>
      <c r="O81" s="277"/>
    </row>
    <row r="82" spans="1:15" hidden="1">
      <c r="A82" s="273"/>
      <c r="B82" s="262"/>
      <c r="C82" s="262"/>
      <c r="D82" s="262" t="s">
        <v>352</v>
      </c>
      <c r="E82" s="296">
        <v>675</v>
      </c>
      <c r="F82" s="265"/>
      <c r="G82" s="265"/>
      <c r="H82" s="262"/>
      <c r="I82" s="266"/>
      <c r="J82" s="267" t="s">
        <v>4</v>
      </c>
      <c r="K82" s="262"/>
      <c r="L82" s="265">
        <v>210</v>
      </c>
      <c r="M82" s="262"/>
      <c r="N82" s="282">
        <f>I82*L82</f>
        <v>0</v>
      </c>
      <c r="O82" s="277"/>
    </row>
    <row r="83" spans="1:15" hidden="1">
      <c r="A83" s="273"/>
      <c r="B83" s="262"/>
      <c r="C83" s="262"/>
      <c r="D83" s="262" t="s">
        <v>353</v>
      </c>
      <c r="E83" s="296">
        <v>675</v>
      </c>
      <c r="F83" s="265"/>
      <c r="G83" s="265"/>
      <c r="H83" s="262"/>
      <c r="I83" s="266"/>
      <c r="J83" s="267" t="s">
        <v>4</v>
      </c>
      <c r="K83" s="262"/>
      <c r="L83" s="265">
        <v>258</v>
      </c>
      <c r="M83" s="262"/>
      <c r="N83" s="282">
        <f>I83*L83</f>
        <v>0</v>
      </c>
      <c r="O83" s="277"/>
    </row>
    <row r="84" spans="1:15" hidden="1">
      <c r="A84" s="273"/>
      <c r="B84" s="262"/>
      <c r="C84" s="262"/>
      <c r="D84" s="262" t="s">
        <v>354</v>
      </c>
      <c r="E84" s="296">
        <v>675</v>
      </c>
      <c r="F84" s="265"/>
      <c r="G84" s="265"/>
      <c r="H84" s="262"/>
      <c r="I84" s="266"/>
      <c r="J84" s="267" t="s">
        <v>4</v>
      </c>
      <c r="K84" s="262"/>
      <c r="L84" s="265">
        <v>310</v>
      </c>
      <c r="M84" s="262"/>
      <c r="N84" s="282">
        <f>I84*L84</f>
        <v>0</v>
      </c>
      <c r="O84" s="277"/>
    </row>
    <row r="85" spans="1:15" hidden="1">
      <c r="A85" s="273"/>
      <c r="B85" s="262"/>
      <c r="C85" s="262"/>
      <c r="D85" s="262"/>
      <c r="E85" s="296"/>
      <c r="F85" s="265"/>
      <c r="G85" s="265"/>
      <c r="H85" s="262"/>
      <c r="I85" s="266"/>
      <c r="J85" s="267"/>
      <c r="K85" s="262"/>
      <c r="L85" s="265"/>
      <c r="M85" s="262"/>
      <c r="N85" s="282"/>
      <c r="O85" s="277"/>
    </row>
    <row r="86" spans="1:15" hidden="1">
      <c r="A86" s="273"/>
      <c r="B86" s="262"/>
      <c r="C86" s="262" t="s">
        <v>335</v>
      </c>
      <c r="D86" s="262"/>
      <c r="E86" s="296"/>
      <c r="F86" s="265"/>
      <c r="G86" s="265"/>
      <c r="H86" s="262"/>
      <c r="I86" s="266"/>
      <c r="J86" s="267"/>
      <c r="K86" s="262"/>
      <c r="L86" s="265"/>
      <c r="M86" s="262"/>
      <c r="N86" s="282"/>
      <c r="O86" s="277"/>
    </row>
    <row r="87" spans="1:15" hidden="1">
      <c r="A87" s="273"/>
      <c r="B87" s="262"/>
      <c r="C87" s="262"/>
      <c r="D87" s="262" t="s">
        <v>336</v>
      </c>
      <c r="E87" s="296">
        <v>750</v>
      </c>
      <c r="F87" s="265"/>
      <c r="G87" s="265"/>
      <c r="H87" s="262"/>
      <c r="I87" s="266"/>
      <c r="J87" s="267" t="s">
        <v>4</v>
      </c>
      <c r="K87" s="262"/>
      <c r="L87" s="265">
        <v>195</v>
      </c>
      <c r="M87" s="262"/>
      <c r="N87" s="282">
        <f>I87*L87</f>
        <v>0</v>
      </c>
      <c r="O87" s="277"/>
    </row>
    <row r="88" spans="1:15" hidden="1">
      <c r="A88" s="273"/>
      <c r="B88" s="262"/>
      <c r="C88" s="262"/>
      <c r="D88" s="262" t="s">
        <v>352</v>
      </c>
      <c r="E88" s="296">
        <v>750</v>
      </c>
      <c r="F88" s="265"/>
      <c r="G88" s="265"/>
      <c r="H88" s="262"/>
      <c r="I88" s="266"/>
      <c r="J88" s="267" t="s">
        <v>4</v>
      </c>
      <c r="K88" s="262"/>
      <c r="L88" s="265">
        <v>240</v>
      </c>
      <c r="M88" s="262"/>
      <c r="N88" s="282">
        <f>I88*L88</f>
        <v>0</v>
      </c>
      <c r="O88" s="277"/>
    </row>
    <row r="89" spans="1:15" hidden="1">
      <c r="A89" s="273"/>
      <c r="B89" s="262"/>
      <c r="C89" s="262"/>
      <c r="D89" s="262" t="s">
        <v>353</v>
      </c>
      <c r="E89" s="296">
        <v>750</v>
      </c>
      <c r="F89" s="265"/>
      <c r="G89" s="265"/>
      <c r="H89" s="262"/>
      <c r="I89" s="266"/>
      <c r="J89" s="267" t="s">
        <v>4</v>
      </c>
      <c r="K89" s="262"/>
      <c r="L89" s="265">
        <v>300</v>
      </c>
      <c r="M89" s="262"/>
      <c r="N89" s="282">
        <f>I89*L89</f>
        <v>0</v>
      </c>
      <c r="O89" s="277"/>
    </row>
    <row r="90" spans="1:15" hidden="1">
      <c r="A90" s="273"/>
      <c r="B90" s="262"/>
      <c r="C90" s="262"/>
      <c r="D90" s="262" t="s">
        <v>354</v>
      </c>
      <c r="E90" s="296">
        <v>750</v>
      </c>
      <c r="F90" s="265"/>
      <c r="G90" s="265"/>
      <c r="H90" s="262"/>
      <c r="I90" s="266"/>
      <c r="J90" s="267" t="s">
        <v>4</v>
      </c>
      <c r="K90" s="262"/>
      <c r="L90" s="265">
        <v>354</v>
      </c>
      <c r="M90" s="262"/>
      <c r="N90" s="282">
        <f>I90*L90</f>
        <v>0</v>
      </c>
      <c r="O90" s="277"/>
    </row>
    <row r="91" spans="1:15" hidden="1">
      <c r="A91" s="273"/>
      <c r="B91" s="262"/>
      <c r="C91" s="262"/>
      <c r="D91" s="262"/>
      <c r="E91" s="296"/>
      <c r="F91" s="265"/>
      <c r="G91" s="265"/>
      <c r="H91" s="262"/>
      <c r="I91" s="266"/>
      <c r="J91" s="267"/>
      <c r="K91" s="262"/>
      <c r="L91" s="265"/>
      <c r="M91" s="262"/>
      <c r="N91" s="282"/>
      <c r="O91" s="277"/>
    </row>
    <row r="92" spans="1:15" hidden="1">
      <c r="A92" s="273"/>
      <c r="B92" s="262"/>
      <c r="C92" s="262" t="s">
        <v>335</v>
      </c>
      <c r="D92" s="262"/>
      <c r="E92" s="296"/>
      <c r="F92" s="265"/>
      <c r="G92" s="265"/>
      <c r="H92" s="262"/>
      <c r="I92" s="266"/>
      <c r="J92" s="267"/>
      <c r="K92" s="262"/>
      <c r="L92" s="265"/>
      <c r="M92" s="262"/>
      <c r="N92" s="282"/>
      <c r="O92" s="277"/>
    </row>
    <row r="93" spans="1:15" hidden="1">
      <c r="A93" s="273"/>
      <c r="B93" s="262"/>
      <c r="C93" s="262"/>
      <c r="D93" s="262" t="s">
        <v>336</v>
      </c>
      <c r="E93" s="296">
        <v>900</v>
      </c>
      <c r="F93" s="265"/>
      <c r="G93" s="265"/>
      <c r="H93" s="262"/>
      <c r="I93" s="266"/>
      <c r="J93" s="267" t="s">
        <v>4</v>
      </c>
      <c r="K93" s="262"/>
      <c r="L93" s="265">
        <v>270</v>
      </c>
      <c r="M93" s="262"/>
      <c r="N93" s="282">
        <f>I93*L93</f>
        <v>0</v>
      </c>
      <c r="O93" s="277"/>
    </row>
    <row r="94" spans="1:15" hidden="1">
      <c r="A94" s="273"/>
      <c r="B94" s="262"/>
      <c r="C94" s="262"/>
      <c r="D94" s="262" t="s">
        <v>352</v>
      </c>
      <c r="E94" s="296">
        <v>900</v>
      </c>
      <c r="F94" s="265"/>
      <c r="G94" s="265"/>
      <c r="H94" s="262"/>
      <c r="I94" s="266"/>
      <c r="J94" s="267" t="s">
        <v>4</v>
      </c>
      <c r="K94" s="262"/>
      <c r="L94" s="265">
        <v>320</v>
      </c>
      <c r="M94" s="262"/>
      <c r="N94" s="282">
        <f>I94*L94</f>
        <v>0</v>
      </c>
      <c r="O94" s="277"/>
    </row>
    <row r="95" spans="1:15" hidden="1">
      <c r="A95" s="273"/>
      <c r="B95" s="262"/>
      <c r="C95" s="262"/>
      <c r="D95" s="262" t="s">
        <v>353</v>
      </c>
      <c r="E95" s="296">
        <v>900</v>
      </c>
      <c r="F95" s="265"/>
      <c r="G95" s="265"/>
      <c r="H95" s="262"/>
      <c r="I95" s="266"/>
      <c r="J95" s="267" t="s">
        <v>4</v>
      </c>
      <c r="K95" s="262"/>
      <c r="L95" s="265">
        <v>380</v>
      </c>
      <c r="M95" s="262"/>
      <c r="N95" s="282">
        <f>I95*L95</f>
        <v>0</v>
      </c>
      <c r="O95" s="277"/>
    </row>
    <row r="96" spans="1:15" hidden="1">
      <c r="A96" s="273"/>
      <c r="B96" s="262"/>
      <c r="C96" s="262"/>
      <c r="D96" s="262" t="s">
        <v>354</v>
      </c>
      <c r="E96" s="296">
        <v>900</v>
      </c>
      <c r="F96" s="265"/>
      <c r="G96" s="265"/>
      <c r="H96" s="262"/>
      <c r="I96" s="266"/>
      <c r="J96" s="267" t="s">
        <v>4</v>
      </c>
      <c r="K96" s="262"/>
      <c r="L96" s="265">
        <v>434</v>
      </c>
      <c r="M96" s="262"/>
      <c r="N96" s="282">
        <f>I96*L96</f>
        <v>0</v>
      </c>
      <c r="O96" s="277"/>
    </row>
    <row r="97" spans="1:15" hidden="1">
      <c r="A97" s="273"/>
      <c r="B97" s="262"/>
      <c r="C97" s="262"/>
      <c r="D97" s="262"/>
      <c r="E97" s="296"/>
      <c r="F97" s="265"/>
      <c r="G97" s="265"/>
      <c r="H97" s="262"/>
      <c r="I97" s="266"/>
      <c r="J97" s="267"/>
      <c r="K97" s="262"/>
      <c r="L97" s="265"/>
      <c r="M97" s="262"/>
      <c r="N97" s="282"/>
      <c r="O97" s="277"/>
    </row>
    <row r="98" spans="1:15" hidden="1">
      <c r="A98" s="273"/>
      <c r="B98" s="262"/>
      <c r="C98" s="262" t="s">
        <v>335</v>
      </c>
      <c r="D98" s="262"/>
      <c r="E98" s="296"/>
      <c r="F98" s="265"/>
      <c r="G98" s="265"/>
      <c r="H98" s="262"/>
      <c r="I98" s="266"/>
      <c r="J98" s="267"/>
      <c r="K98" s="262"/>
      <c r="L98" s="265"/>
      <c r="M98" s="262"/>
      <c r="N98" s="282"/>
      <c r="O98" s="277"/>
    </row>
    <row r="99" spans="1:15" hidden="1">
      <c r="A99" s="273"/>
      <c r="B99" s="262"/>
      <c r="C99" s="262"/>
      <c r="D99" s="262" t="s">
        <v>336</v>
      </c>
      <c r="E99" s="296">
        <v>1050</v>
      </c>
      <c r="F99" s="265"/>
      <c r="G99" s="265"/>
      <c r="H99" s="262"/>
      <c r="I99" s="266"/>
      <c r="J99" s="267" t="s">
        <v>4</v>
      </c>
      <c r="K99" s="262"/>
      <c r="L99" s="265">
        <v>320</v>
      </c>
      <c r="M99" s="262"/>
      <c r="N99" s="282">
        <f>I99*L99</f>
        <v>0</v>
      </c>
      <c r="O99" s="277"/>
    </row>
    <row r="100" spans="1:15" hidden="1">
      <c r="A100" s="273"/>
      <c r="B100" s="262"/>
      <c r="C100" s="262"/>
      <c r="D100" s="262" t="s">
        <v>352</v>
      </c>
      <c r="E100" s="296">
        <v>1050</v>
      </c>
      <c r="F100" s="265"/>
      <c r="G100" s="265"/>
      <c r="H100" s="262"/>
      <c r="I100" s="266"/>
      <c r="J100" s="267" t="s">
        <v>4</v>
      </c>
      <c r="K100" s="262"/>
      <c r="L100" s="265">
        <v>370</v>
      </c>
      <c r="M100" s="262"/>
      <c r="N100" s="282">
        <f>I100*L100</f>
        <v>0</v>
      </c>
      <c r="O100" s="277"/>
    </row>
    <row r="101" spans="1:15" hidden="1">
      <c r="A101" s="273"/>
      <c r="B101" s="262"/>
      <c r="C101" s="262"/>
      <c r="D101" s="262" t="s">
        <v>353</v>
      </c>
      <c r="E101" s="296">
        <v>1050</v>
      </c>
      <c r="F101" s="265"/>
      <c r="G101" s="265"/>
      <c r="H101" s="262"/>
      <c r="I101" s="266"/>
      <c r="J101" s="267" t="s">
        <v>4</v>
      </c>
      <c r="K101" s="262"/>
      <c r="L101" s="265">
        <v>430</v>
      </c>
      <c r="M101" s="262"/>
      <c r="N101" s="282">
        <f>I101*L101</f>
        <v>0</v>
      </c>
      <c r="O101" s="277"/>
    </row>
    <row r="102" spans="1:15" hidden="1">
      <c r="A102" s="273"/>
      <c r="B102" s="262"/>
      <c r="C102" s="262"/>
      <c r="D102" s="262" t="s">
        <v>354</v>
      </c>
      <c r="E102" s="296">
        <v>1050</v>
      </c>
      <c r="F102" s="265"/>
      <c r="G102" s="265"/>
      <c r="H102" s="262"/>
      <c r="I102" s="266"/>
      <c r="J102" s="267" t="s">
        <v>4</v>
      </c>
      <c r="K102" s="262"/>
      <c r="L102" s="265">
        <v>484</v>
      </c>
      <c r="M102" s="262"/>
      <c r="N102" s="282">
        <f>I102*L102</f>
        <v>0</v>
      </c>
      <c r="O102" s="277"/>
    </row>
    <row r="103" spans="1:15" hidden="1">
      <c r="A103" s="273"/>
      <c r="B103" s="262"/>
      <c r="C103" s="262"/>
      <c r="D103" s="262"/>
      <c r="E103" s="296"/>
      <c r="F103" s="265"/>
      <c r="G103" s="265"/>
      <c r="H103" s="262"/>
      <c r="I103" s="266"/>
      <c r="J103" s="267"/>
      <c r="K103" s="262"/>
      <c r="L103" s="265"/>
      <c r="M103" s="262"/>
      <c r="N103" s="282"/>
      <c r="O103" s="277"/>
    </row>
    <row r="104" spans="1:15" hidden="1">
      <c r="A104" s="273"/>
      <c r="B104" s="262"/>
      <c r="C104" s="262" t="s">
        <v>335</v>
      </c>
      <c r="D104" s="262"/>
      <c r="E104" s="296"/>
      <c r="F104" s="265"/>
      <c r="G104" s="265"/>
      <c r="H104" s="262"/>
      <c r="I104" s="266"/>
      <c r="J104" s="267"/>
      <c r="K104" s="262"/>
      <c r="L104" s="265"/>
      <c r="M104" s="262"/>
      <c r="N104" s="282"/>
      <c r="O104" s="277"/>
    </row>
    <row r="105" spans="1:15" hidden="1">
      <c r="A105" s="273"/>
      <c r="B105" s="262"/>
      <c r="C105" s="262"/>
      <c r="D105" s="262" t="s">
        <v>336</v>
      </c>
      <c r="E105" s="296">
        <v>1200</v>
      </c>
      <c r="F105" s="265"/>
      <c r="G105" s="265"/>
      <c r="H105" s="262"/>
      <c r="I105" s="266"/>
      <c r="J105" s="267" t="s">
        <v>4</v>
      </c>
      <c r="K105" s="262"/>
      <c r="L105" s="265">
        <v>380</v>
      </c>
      <c r="M105" s="262"/>
      <c r="N105" s="282">
        <f>I105*L105</f>
        <v>0</v>
      </c>
      <c r="O105" s="277"/>
    </row>
    <row r="106" spans="1:15" hidden="1">
      <c r="A106" s="273"/>
      <c r="B106" s="262"/>
      <c r="C106" s="262"/>
      <c r="D106" s="262" t="s">
        <v>352</v>
      </c>
      <c r="E106" s="296">
        <v>1200</v>
      </c>
      <c r="F106" s="265"/>
      <c r="G106" s="265"/>
      <c r="H106" s="262"/>
      <c r="I106" s="266"/>
      <c r="J106" s="267" t="s">
        <v>4</v>
      </c>
      <c r="K106" s="262"/>
      <c r="L106" s="265">
        <v>430</v>
      </c>
      <c r="M106" s="262"/>
      <c r="N106" s="282">
        <f>I106*L106</f>
        <v>0</v>
      </c>
      <c r="O106" s="277"/>
    </row>
    <row r="107" spans="1:15" hidden="1">
      <c r="A107" s="273"/>
      <c r="B107" s="262"/>
      <c r="C107" s="262"/>
      <c r="D107" s="262" t="s">
        <v>353</v>
      </c>
      <c r="E107" s="296">
        <v>1200</v>
      </c>
      <c r="F107" s="265"/>
      <c r="G107" s="265"/>
      <c r="H107" s="262"/>
      <c r="I107" s="266"/>
      <c r="J107" s="267" t="s">
        <v>4</v>
      </c>
      <c r="K107" s="262"/>
      <c r="L107" s="265">
        <v>490</v>
      </c>
      <c r="M107" s="262"/>
      <c r="N107" s="282">
        <f>I107*L107</f>
        <v>0</v>
      </c>
      <c r="O107" s="277"/>
    </row>
    <row r="108" spans="1:15" hidden="1">
      <c r="A108" s="273"/>
      <c r="B108" s="262"/>
      <c r="C108" s="262"/>
      <c r="D108" s="262" t="s">
        <v>354</v>
      </c>
      <c r="E108" s="296">
        <v>1200</v>
      </c>
      <c r="F108" s="265"/>
      <c r="G108" s="265"/>
      <c r="H108" s="262"/>
      <c r="I108" s="266"/>
      <c r="J108" s="267" t="s">
        <v>4</v>
      </c>
      <c r="K108" s="262"/>
      <c r="L108" s="265">
        <v>549</v>
      </c>
      <c r="M108" s="262"/>
      <c r="N108" s="282">
        <f>I108*L108</f>
        <v>0</v>
      </c>
      <c r="O108" s="277"/>
    </row>
    <row r="109" spans="1:15" hidden="1">
      <c r="A109" s="273"/>
      <c r="B109" s="262"/>
      <c r="C109" s="262"/>
      <c r="D109" s="262"/>
      <c r="E109" s="296"/>
      <c r="F109" s="265"/>
      <c r="G109" s="265"/>
      <c r="H109" s="262"/>
      <c r="I109" s="266"/>
      <c r="J109" s="267"/>
      <c r="K109" s="262"/>
      <c r="L109" s="265"/>
      <c r="M109" s="262"/>
      <c r="N109" s="282"/>
      <c r="O109" s="277"/>
    </row>
    <row r="110" spans="1:15" hidden="1">
      <c r="A110" s="273"/>
      <c r="B110" s="262"/>
      <c r="C110" s="262" t="s">
        <v>335</v>
      </c>
      <c r="D110" s="262"/>
      <c r="E110" s="296"/>
      <c r="F110" s="265"/>
      <c r="G110" s="265"/>
      <c r="H110" s="262"/>
      <c r="I110" s="266"/>
      <c r="J110" s="267"/>
      <c r="K110" s="262"/>
      <c r="L110" s="265"/>
      <c r="M110" s="262"/>
      <c r="N110" s="282"/>
      <c r="O110" s="277"/>
    </row>
    <row r="111" spans="1:15" hidden="1">
      <c r="A111" s="273"/>
      <c r="B111" s="262"/>
      <c r="C111" s="262"/>
      <c r="D111" s="262" t="s">
        <v>336</v>
      </c>
      <c r="E111" s="296">
        <v>1350</v>
      </c>
      <c r="F111" s="265"/>
      <c r="G111" s="265"/>
      <c r="H111" s="262"/>
      <c r="I111" s="266"/>
      <c r="J111" s="267" t="s">
        <v>4</v>
      </c>
      <c r="K111" s="262"/>
      <c r="L111" s="265">
        <v>440</v>
      </c>
      <c r="M111" s="262"/>
      <c r="N111" s="282">
        <f>I111*L111</f>
        <v>0</v>
      </c>
      <c r="O111" s="277"/>
    </row>
    <row r="112" spans="1:15" hidden="1">
      <c r="A112" s="273"/>
      <c r="B112" s="262"/>
      <c r="C112" s="262"/>
      <c r="D112" s="262" t="s">
        <v>352</v>
      </c>
      <c r="E112" s="296">
        <v>1350</v>
      </c>
      <c r="F112" s="265"/>
      <c r="G112" s="265"/>
      <c r="H112" s="262"/>
      <c r="I112" s="266"/>
      <c r="J112" s="267" t="s">
        <v>4</v>
      </c>
      <c r="K112" s="262"/>
      <c r="L112" s="265">
        <v>490</v>
      </c>
      <c r="M112" s="262"/>
      <c r="N112" s="282">
        <f>I112*L112</f>
        <v>0</v>
      </c>
      <c r="O112" s="277"/>
    </row>
    <row r="113" spans="1:15" hidden="1">
      <c r="A113" s="273"/>
      <c r="B113" s="262"/>
      <c r="C113" s="262"/>
      <c r="D113" s="262" t="s">
        <v>353</v>
      </c>
      <c r="E113" s="296">
        <v>1350</v>
      </c>
      <c r="F113" s="265"/>
      <c r="G113" s="265"/>
      <c r="H113" s="262"/>
      <c r="I113" s="266"/>
      <c r="J113" s="267" t="s">
        <v>4</v>
      </c>
      <c r="K113" s="262"/>
      <c r="L113" s="265">
        <v>550</v>
      </c>
      <c r="M113" s="262"/>
      <c r="N113" s="282">
        <f>I113*L113</f>
        <v>0</v>
      </c>
      <c r="O113" s="277"/>
    </row>
    <row r="114" spans="1:15" hidden="1">
      <c r="A114" s="273"/>
      <c r="B114" s="262"/>
      <c r="C114" s="262"/>
      <c r="D114" s="262" t="s">
        <v>354</v>
      </c>
      <c r="E114" s="296">
        <v>1350</v>
      </c>
      <c r="F114" s="265"/>
      <c r="G114" s="265"/>
      <c r="H114" s="262"/>
      <c r="I114" s="266"/>
      <c r="J114" s="267" t="s">
        <v>4</v>
      </c>
      <c r="K114" s="262"/>
      <c r="L114" s="265">
        <v>609</v>
      </c>
      <c r="M114" s="262"/>
      <c r="N114" s="282">
        <f>I114*L114</f>
        <v>0</v>
      </c>
      <c r="O114" s="277"/>
    </row>
    <row r="115" spans="1:15" hidden="1">
      <c r="A115" s="273"/>
      <c r="B115" s="262"/>
      <c r="C115" s="262"/>
      <c r="D115" s="262"/>
      <c r="E115" s="296"/>
      <c r="F115" s="265"/>
      <c r="G115" s="265"/>
      <c r="H115" s="262"/>
      <c r="I115" s="266"/>
      <c r="J115" s="267"/>
      <c r="K115" s="262"/>
      <c r="L115" s="265"/>
      <c r="M115" s="262"/>
      <c r="N115" s="282"/>
      <c r="O115" s="277"/>
    </row>
    <row r="116" spans="1:15" hidden="1">
      <c r="A116" s="273"/>
      <c r="B116" s="262"/>
      <c r="C116" s="262" t="s">
        <v>335</v>
      </c>
      <c r="D116" s="262"/>
      <c r="E116" s="296"/>
      <c r="F116" s="265"/>
      <c r="G116" s="265"/>
      <c r="H116" s="262"/>
      <c r="I116" s="266"/>
      <c r="J116" s="267"/>
      <c r="K116" s="262"/>
      <c r="L116" s="265"/>
      <c r="M116" s="262"/>
      <c r="N116" s="282"/>
      <c r="O116" s="277"/>
    </row>
    <row r="117" spans="1:15" hidden="1">
      <c r="A117" s="273"/>
      <c r="B117" s="262"/>
      <c r="C117" s="262"/>
      <c r="D117" s="262" t="s">
        <v>336</v>
      </c>
      <c r="E117" s="296">
        <v>1800</v>
      </c>
      <c r="F117" s="265"/>
      <c r="G117" s="265"/>
      <c r="H117" s="262"/>
      <c r="I117" s="266"/>
      <c r="J117" s="267" t="s">
        <v>4</v>
      </c>
      <c r="K117" s="262"/>
      <c r="L117" s="265"/>
      <c r="M117" s="262"/>
      <c r="N117" s="282">
        <f>I117*L117</f>
        <v>0</v>
      </c>
      <c r="O117" s="277"/>
    </row>
    <row r="118" spans="1:15" hidden="1">
      <c r="A118" s="273"/>
      <c r="B118" s="262"/>
      <c r="C118" s="262"/>
      <c r="D118" s="262" t="s">
        <v>352</v>
      </c>
      <c r="E118" s="296">
        <v>1800</v>
      </c>
      <c r="F118" s="265"/>
      <c r="G118" s="265"/>
      <c r="H118" s="262"/>
      <c r="I118" s="266"/>
      <c r="J118" s="267" t="s">
        <v>4</v>
      </c>
      <c r="K118" s="262"/>
      <c r="L118" s="265">
        <v>550</v>
      </c>
      <c r="M118" s="262"/>
      <c r="N118" s="282">
        <f>I118*L118</f>
        <v>0</v>
      </c>
      <c r="O118" s="277"/>
    </row>
    <row r="119" spans="1:15" hidden="1">
      <c r="A119" s="273"/>
      <c r="B119" s="262"/>
      <c r="C119" s="262"/>
      <c r="D119" s="262" t="s">
        <v>353</v>
      </c>
      <c r="E119" s="296">
        <v>1800</v>
      </c>
      <c r="F119" s="265"/>
      <c r="G119" s="265"/>
      <c r="H119" s="262"/>
      <c r="I119" s="266"/>
      <c r="J119" s="267" t="s">
        <v>4</v>
      </c>
      <c r="K119" s="262"/>
      <c r="L119" s="265">
        <v>610</v>
      </c>
      <c r="M119" s="262"/>
      <c r="N119" s="282">
        <f>I119*L119</f>
        <v>0</v>
      </c>
      <c r="O119" s="277"/>
    </row>
    <row r="120" spans="1:15" hidden="1">
      <c r="A120" s="273"/>
      <c r="B120" s="262"/>
      <c r="C120" s="262"/>
      <c r="D120" s="262" t="s">
        <v>354</v>
      </c>
      <c r="E120" s="296">
        <v>1800</v>
      </c>
      <c r="F120" s="265"/>
      <c r="G120" s="265"/>
      <c r="H120" s="262"/>
      <c r="I120" s="266"/>
      <c r="J120" s="267" t="s">
        <v>4</v>
      </c>
      <c r="K120" s="262"/>
      <c r="L120" s="265">
        <v>669</v>
      </c>
      <c r="M120" s="262"/>
      <c r="N120" s="282">
        <f>I120*L120</f>
        <v>0</v>
      </c>
      <c r="O120" s="277"/>
    </row>
    <row r="121" spans="1:15" hidden="1">
      <c r="A121" s="273"/>
      <c r="B121" s="262"/>
      <c r="C121" s="262"/>
      <c r="D121" s="262"/>
      <c r="E121" s="296"/>
      <c r="F121" s="265"/>
      <c r="G121" s="265"/>
      <c r="H121" s="262"/>
      <c r="I121" s="266"/>
      <c r="J121" s="267"/>
      <c r="K121" s="262"/>
      <c r="L121" s="265"/>
      <c r="M121" s="262"/>
      <c r="N121" s="282"/>
      <c r="O121" s="277"/>
    </row>
    <row r="122" spans="1:15" hidden="1">
      <c r="A122" s="273"/>
      <c r="B122" s="262"/>
      <c r="C122" s="262" t="s">
        <v>40</v>
      </c>
      <c r="D122" s="262"/>
      <c r="E122" s="296"/>
      <c r="F122" s="265"/>
      <c r="G122" s="265"/>
      <c r="H122" s="262"/>
      <c r="I122" s="266"/>
      <c r="J122" s="267"/>
      <c r="K122" s="262"/>
      <c r="L122" s="265"/>
      <c r="M122" s="262"/>
      <c r="N122" s="282"/>
      <c r="O122" s="277"/>
    </row>
    <row r="123" spans="1:15" hidden="1">
      <c r="A123" s="273"/>
      <c r="B123" s="262"/>
      <c r="C123" s="262"/>
      <c r="D123" s="262"/>
      <c r="E123" s="296"/>
      <c r="F123" s="265"/>
      <c r="G123" s="265"/>
      <c r="H123" s="262"/>
      <c r="I123" s="266"/>
      <c r="J123" s="267"/>
      <c r="K123" s="262"/>
      <c r="L123" s="265"/>
      <c r="M123" s="262"/>
      <c r="N123" s="282"/>
      <c r="O123" s="277"/>
    </row>
    <row r="124" spans="1:15" hidden="1">
      <c r="A124" s="273"/>
      <c r="B124" s="262"/>
      <c r="C124" s="262" t="s">
        <v>355</v>
      </c>
      <c r="D124" s="262"/>
      <c r="E124" s="296"/>
      <c r="F124" s="265"/>
      <c r="G124" s="265"/>
      <c r="H124" s="262"/>
      <c r="I124" s="266"/>
      <c r="J124" s="267"/>
      <c r="K124" s="262"/>
      <c r="L124" s="265"/>
      <c r="M124" s="262"/>
      <c r="N124" s="282"/>
      <c r="O124" s="277"/>
    </row>
    <row r="125" spans="1:15" hidden="1">
      <c r="A125" s="273"/>
      <c r="B125" s="262"/>
      <c r="C125" s="262"/>
      <c r="D125" s="262" t="s">
        <v>336</v>
      </c>
      <c r="E125" s="296"/>
      <c r="F125" s="265"/>
      <c r="G125" s="265"/>
      <c r="H125" s="262"/>
      <c r="I125" s="266">
        <f>(($G$37/30)+2)*0.2</f>
        <v>0.4</v>
      </c>
      <c r="J125" s="267" t="s">
        <v>19</v>
      </c>
      <c r="K125" s="262"/>
      <c r="L125" s="265">
        <v>1350</v>
      </c>
      <c r="M125" s="262"/>
      <c r="N125" s="282">
        <f>I125*L125</f>
        <v>540</v>
      </c>
      <c r="O125" s="277"/>
    </row>
    <row r="126" spans="1:15" hidden="1">
      <c r="A126" s="273"/>
      <c r="B126" s="262"/>
      <c r="C126" s="262"/>
      <c r="D126" s="262" t="s">
        <v>352</v>
      </c>
      <c r="E126" s="296"/>
      <c r="F126" s="265"/>
      <c r="G126" s="265"/>
      <c r="H126" s="262"/>
      <c r="I126" s="266">
        <f>(($G$37/30)+2)*0.6</f>
        <v>1.2</v>
      </c>
      <c r="J126" s="267" t="s">
        <v>19</v>
      </c>
      <c r="K126" s="262"/>
      <c r="L126" s="265">
        <v>1750</v>
      </c>
      <c r="M126" s="262"/>
      <c r="N126" s="282">
        <f>I126*L126</f>
        <v>2100</v>
      </c>
      <c r="O126" s="277"/>
    </row>
    <row r="127" spans="1:15" hidden="1">
      <c r="A127" s="273"/>
      <c r="B127" s="262"/>
      <c r="C127" s="262"/>
      <c r="D127" s="262" t="s">
        <v>353</v>
      </c>
      <c r="E127" s="296">
        <f>E123+E130+E131+E133+E134-0.45</f>
        <v>-0.45</v>
      </c>
      <c r="F127" s="265"/>
      <c r="G127" s="265"/>
      <c r="H127" s="262"/>
      <c r="I127" s="266">
        <f>(($G$37/30)+2)*0.2</f>
        <v>0.4</v>
      </c>
      <c r="J127" s="267" t="s">
        <v>19</v>
      </c>
      <c r="K127" s="262"/>
      <c r="L127" s="265">
        <v>2225</v>
      </c>
      <c r="M127" s="262"/>
      <c r="N127" s="282">
        <f>I127*L127</f>
        <v>890</v>
      </c>
      <c r="O127" s="277"/>
    </row>
    <row r="128" spans="1:15" hidden="1">
      <c r="A128" s="273"/>
      <c r="B128" s="262"/>
      <c r="C128" s="262"/>
      <c r="D128" s="262" t="s">
        <v>354</v>
      </c>
      <c r="E128" s="296"/>
      <c r="F128" s="265"/>
      <c r="G128" s="265"/>
      <c r="H128" s="262"/>
      <c r="I128" s="266"/>
      <c r="J128" s="267" t="s">
        <v>19</v>
      </c>
      <c r="K128" s="262"/>
      <c r="L128" s="265">
        <v>2825</v>
      </c>
      <c r="M128" s="262"/>
      <c r="N128" s="282">
        <f>I128*L128</f>
        <v>0</v>
      </c>
      <c r="O128" s="277"/>
    </row>
    <row r="129" spans="1:15" hidden="1">
      <c r="A129" s="273"/>
      <c r="B129" s="262"/>
      <c r="C129" s="262"/>
      <c r="D129" s="262"/>
      <c r="E129" s="296"/>
      <c r="F129" s="265"/>
      <c r="G129" s="265"/>
      <c r="H129" s="262"/>
      <c r="I129" s="266"/>
      <c r="J129" s="267"/>
      <c r="K129" s="262"/>
      <c r="L129" s="265"/>
      <c r="M129" s="262"/>
      <c r="N129" s="282"/>
      <c r="O129" s="277"/>
    </row>
    <row r="130" spans="1:15" hidden="1">
      <c r="A130" s="273"/>
      <c r="B130" s="262"/>
      <c r="C130" s="262" t="s">
        <v>356</v>
      </c>
      <c r="D130" s="262"/>
      <c r="E130" s="296"/>
      <c r="F130" s="265"/>
      <c r="G130" s="265"/>
      <c r="H130" s="262"/>
      <c r="I130" s="266"/>
      <c r="J130" s="267"/>
      <c r="K130" s="262"/>
      <c r="L130" s="265"/>
      <c r="M130" s="262"/>
      <c r="N130" s="282"/>
      <c r="O130" s="277"/>
    </row>
    <row r="131" spans="1:15" hidden="1">
      <c r="A131" s="273"/>
      <c r="B131" s="262"/>
      <c r="C131" s="262"/>
      <c r="D131" s="262" t="s">
        <v>336</v>
      </c>
      <c r="E131" s="296"/>
      <c r="F131" s="265"/>
      <c r="G131" s="265"/>
      <c r="H131" s="262"/>
      <c r="I131" s="266"/>
      <c r="J131" s="267" t="s">
        <v>19</v>
      </c>
      <c r="K131" s="262"/>
      <c r="L131" s="265">
        <v>1850</v>
      </c>
      <c r="M131" s="262"/>
      <c r="N131" s="282">
        <f>I131*L131</f>
        <v>0</v>
      </c>
      <c r="O131" s="277"/>
    </row>
    <row r="132" spans="1:15" hidden="1">
      <c r="A132" s="273"/>
      <c r="B132" s="262"/>
      <c r="C132" s="262"/>
      <c r="D132" s="262" t="s">
        <v>352</v>
      </c>
      <c r="E132" s="296"/>
      <c r="F132" s="265"/>
      <c r="G132" s="265"/>
      <c r="H132" s="262"/>
      <c r="I132" s="266"/>
      <c r="J132" s="267" t="s">
        <v>19</v>
      </c>
      <c r="K132" s="262"/>
      <c r="L132" s="265">
        <v>2155</v>
      </c>
      <c r="M132" s="262"/>
      <c r="N132" s="282">
        <f>I132*L132</f>
        <v>0</v>
      </c>
      <c r="O132" s="277"/>
    </row>
    <row r="133" spans="1:15" hidden="1">
      <c r="A133" s="273"/>
      <c r="B133" s="262"/>
      <c r="C133" s="262"/>
      <c r="D133" s="262" t="s">
        <v>353</v>
      </c>
      <c r="E133" s="296"/>
      <c r="F133" s="265"/>
      <c r="G133" s="265"/>
      <c r="H133" s="262"/>
      <c r="I133" s="266"/>
      <c r="J133" s="267" t="s">
        <v>19</v>
      </c>
      <c r="K133" s="262"/>
      <c r="L133" s="265">
        <v>2615</v>
      </c>
      <c r="M133" s="262"/>
      <c r="N133" s="282">
        <f>I133*L133</f>
        <v>0</v>
      </c>
      <c r="O133" s="277"/>
    </row>
    <row r="134" spans="1:15" hidden="1">
      <c r="A134" s="273"/>
      <c r="B134" s="262"/>
      <c r="C134" s="262"/>
      <c r="D134" s="262" t="s">
        <v>354</v>
      </c>
      <c r="E134" s="296"/>
      <c r="F134" s="265"/>
      <c r="G134" s="265"/>
      <c r="H134" s="262"/>
      <c r="I134" s="266"/>
      <c r="J134" s="267" t="s">
        <v>19</v>
      </c>
      <c r="K134" s="262"/>
      <c r="L134" s="265">
        <v>3975</v>
      </c>
      <c r="M134" s="262"/>
      <c r="N134" s="282">
        <f>I134*L134</f>
        <v>0</v>
      </c>
      <c r="O134" s="277"/>
    </row>
    <row r="135" spans="1:15" hidden="1">
      <c r="A135" s="273"/>
      <c r="B135" s="262"/>
      <c r="C135" s="262"/>
      <c r="D135" s="262"/>
      <c r="E135" s="296"/>
      <c r="F135" s="265"/>
      <c r="G135" s="265"/>
      <c r="H135" s="262"/>
      <c r="I135" s="266"/>
      <c r="J135" s="267"/>
      <c r="K135" s="262"/>
      <c r="L135" s="265"/>
      <c r="M135" s="262"/>
      <c r="N135" s="282"/>
      <c r="O135" s="277"/>
    </row>
    <row r="136" spans="1:15" hidden="1">
      <c r="A136" s="273"/>
      <c r="B136" s="262"/>
      <c r="C136" s="262" t="s">
        <v>357</v>
      </c>
      <c r="D136" s="262"/>
      <c r="E136" s="296"/>
      <c r="F136" s="265"/>
      <c r="G136" s="265"/>
      <c r="H136" s="262"/>
      <c r="I136" s="266"/>
      <c r="J136" s="267"/>
      <c r="K136" s="262"/>
      <c r="L136" s="265"/>
      <c r="M136" s="262"/>
      <c r="N136" s="282"/>
      <c r="O136" s="277"/>
    </row>
    <row r="137" spans="1:15" hidden="1">
      <c r="A137" s="273"/>
      <c r="B137" s="262"/>
      <c r="C137" s="262"/>
      <c r="D137" s="262" t="s">
        <v>336</v>
      </c>
      <c r="E137" s="296"/>
      <c r="F137" s="265"/>
      <c r="G137" s="265"/>
      <c r="H137" s="262"/>
      <c r="I137" s="266"/>
      <c r="J137" s="267" t="s">
        <v>19</v>
      </c>
      <c r="K137" s="262"/>
      <c r="L137" s="265">
        <v>2125</v>
      </c>
      <c r="M137" s="262"/>
      <c r="N137" s="282">
        <f>I137*L137</f>
        <v>0</v>
      </c>
      <c r="O137" s="277"/>
    </row>
    <row r="138" spans="1:15" hidden="1">
      <c r="A138" s="273"/>
      <c r="B138" s="262"/>
      <c r="C138" s="262"/>
      <c r="D138" s="262" t="s">
        <v>352</v>
      </c>
      <c r="E138" s="296"/>
      <c r="F138" s="265"/>
      <c r="G138" s="265"/>
      <c r="H138" s="262"/>
      <c r="I138" s="266"/>
      <c r="J138" s="267" t="s">
        <v>19</v>
      </c>
      <c r="K138" s="262"/>
      <c r="L138" s="265">
        <v>2610</v>
      </c>
      <c r="M138" s="262"/>
      <c r="N138" s="282">
        <f>I138*L138</f>
        <v>0</v>
      </c>
      <c r="O138" s="277"/>
    </row>
    <row r="139" spans="1:15" hidden="1">
      <c r="A139" s="273"/>
      <c r="B139" s="262"/>
      <c r="C139" s="262"/>
      <c r="D139" s="262" t="s">
        <v>353</v>
      </c>
      <c r="E139" s="296"/>
      <c r="F139" s="265"/>
      <c r="G139" s="265"/>
      <c r="H139" s="262"/>
      <c r="I139" s="266"/>
      <c r="J139" s="267" t="s">
        <v>19</v>
      </c>
      <c r="K139" s="262"/>
      <c r="L139" s="265">
        <v>3400</v>
      </c>
      <c r="M139" s="262"/>
      <c r="N139" s="282">
        <f>I139*L139</f>
        <v>0</v>
      </c>
      <c r="O139" s="277"/>
    </row>
    <row r="140" spans="1:15" hidden="1">
      <c r="A140" s="273"/>
      <c r="B140" s="262"/>
      <c r="C140" s="262"/>
      <c r="D140" s="262" t="s">
        <v>354</v>
      </c>
      <c r="E140" s="296"/>
      <c r="F140" s="265"/>
      <c r="G140" s="265"/>
      <c r="H140" s="262"/>
      <c r="I140" s="266"/>
      <c r="J140" s="267" t="s">
        <v>19</v>
      </c>
      <c r="K140" s="262"/>
      <c r="L140" s="265">
        <v>4300</v>
      </c>
      <c r="M140" s="262"/>
      <c r="N140" s="282">
        <f>I140*L140</f>
        <v>0</v>
      </c>
      <c r="O140" s="277"/>
    </row>
    <row r="141" spans="1:15" hidden="1">
      <c r="A141" s="273"/>
      <c r="B141" s="262"/>
      <c r="C141" s="262"/>
      <c r="D141" s="262"/>
      <c r="E141" s="296"/>
      <c r="F141" s="265"/>
      <c r="G141" s="265"/>
      <c r="H141" s="262"/>
      <c r="I141" s="266"/>
      <c r="J141" s="267"/>
      <c r="K141" s="262"/>
      <c r="L141" s="265"/>
      <c r="M141" s="262"/>
      <c r="N141" s="282"/>
      <c r="O141" s="277"/>
    </row>
    <row r="142" spans="1:15" hidden="1">
      <c r="A142" s="273"/>
      <c r="B142" s="262"/>
      <c r="C142" s="262" t="s">
        <v>358</v>
      </c>
      <c r="D142" s="262"/>
      <c r="E142" s="296"/>
      <c r="F142" s="265"/>
      <c r="G142" s="265"/>
      <c r="H142" s="262"/>
      <c r="I142" s="266"/>
      <c r="J142" s="267"/>
      <c r="K142" s="262"/>
      <c r="L142" s="265"/>
      <c r="M142" s="262"/>
      <c r="N142" s="282"/>
      <c r="O142" s="277"/>
    </row>
    <row r="143" spans="1:15" hidden="1">
      <c r="A143" s="273"/>
      <c r="B143" s="262"/>
      <c r="C143" s="262"/>
      <c r="D143" s="262" t="s">
        <v>336</v>
      </c>
      <c r="E143" s="296"/>
      <c r="F143" s="265"/>
      <c r="G143" s="265"/>
      <c r="H143" s="262"/>
      <c r="I143" s="266"/>
      <c r="J143" s="267" t="s">
        <v>19</v>
      </c>
      <c r="K143" s="262"/>
      <c r="L143" s="265">
        <v>2350</v>
      </c>
      <c r="M143" s="262"/>
      <c r="N143" s="282">
        <f>I143*L143</f>
        <v>0</v>
      </c>
      <c r="O143" s="277"/>
    </row>
    <row r="144" spans="1:15" hidden="1">
      <c r="A144" s="273"/>
      <c r="B144" s="262"/>
      <c r="C144" s="262"/>
      <c r="D144" s="262" t="s">
        <v>352</v>
      </c>
      <c r="E144" s="296"/>
      <c r="F144" s="265"/>
      <c r="G144" s="265"/>
      <c r="H144" s="262"/>
      <c r="I144" s="266"/>
      <c r="J144" s="267" t="s">
        <v>19</v>
      </c>
      <c r="K144" s="262"/>
      <c r="L144" s="265">
        <v>3350</v>
      </c>
      <c r="M144" s="262"/>
      <c r="N144" s="282">
        <f>I144*L144</f>
        <v>0</v>
      </c>
      <c r="O144" s="277"/>
    </row>
    <row r="145" spans="1:15" hidden="1">
      <c r="A145" s="273"/>
      <c r="B145" s="262"/>
      <c r="C145" s="262"/>
      <c r="D145" s="262" t="s">
        <v>353</v>
      </c>
      <c r="E145" s="296"/>
      <c r="F145" s="265"/>
      <c r="G145" s="265"/>
      <c r="H145" s="262"/>
      <c r="I145" s="266"/>
      <c r="J145" s="267" t="s">
        <v>19</v>
      </c>
      <c r="K145" s="262"/>
      <c r="L145" s="265">
        <v>4195</v>
      </c>
      <c r="M145" s="262"/>
      <c r="N145" s="282">
        <f>I145*L145</f>
        <v>0</v>
      </c>
      <c r="O145" s="277"/>
    </row>
    <row r="146" spans="1:15" hidden="1">
      <c r="A146" s="273"/>
      <c r="B146" s="262"/>
      <c r="C146" s="262"/>
      <c r="D146" s="262" t="s">
        <v>354</v>
      </c>
      <c r="E146" s="296"/>
      <c r="F146" s="265"/>
      <c r="G146" s="265"/>
      <c r="H146" s="262"/>
      <c r="I146" s="266"/>
      <c r="J146" s="267" t="s">
        <v>19</v>
      </c>
      <c r="K146" s="262"/>
      <c r="L146" s="265">
        <v>4870</v>
      </c>
      <c r="M146" s="262"/>
      <c r="N146" s="282">
        <f>I146*L146</f>
        <v>0</v>
      </c>
      <c r="O146" s="277"/>
    </row>
    <row r="147" spans="1:15" hidden="1">
      <c r="A147" s="273"/>
      <c r="B147" s="262"/>
      <c r="C147" s="262"/>
      <c r="D147" s="262"/>
      <c r="E147" s="296"/>
      <c r="F147" s="265"/>
      <c r="G147" s="265"/>
      <c r="H147" s="262"/>
      <c r="I147" s="266"/>
      <c r="J147" s="267"/>
      <c r="K147" s="262"/>
      <c r="L147" s="265"/>
      <c r="M147" s="262"/>
      <c r="N147" s="282"/>
      <c r="O147" s="277"/>
    </row>
    <row r="148" spans="1:15" hidden="1">
      <c r="A148" s="273"/>
      <c r="B148" s="262"/>
      <c r="C148" s="262" t="s">
        <v>359</v>
      </c>
      <c r="D148" s="262"/>
      <c r="E148" s="296"/>
      <c r="F148" s="265"/>
      <c r="G148" s="265"/>
      <c r="H148" s="262"/>
      <c r="I148" s="266"/>
      <c r="J148" s="267"/>
      <c r="K148" s="262"/>
      <c r="L148" s="265"/>
      <c r="M148" s="262"/>
      <c r="N148" s="282"/>
      <c r="O148" s="277"/>
    </row>
    <row r="149" spans="1:15" hidden="1">
      <c r="A149" s="273"/>
      <c r="B149" s="262"/>
      <c r="C149" s="262"/>
      <c r="D149" s="262" t="s">
        <v>336</v>
      </c>
      <c r="E149" s="296"/>
      <c r="F149" s="265"/>
      <c r="G149" s="265"/>
      <c r="H149" s="262"/>
      <c r="I149" s="266"/>
      <c r="J149" s="267" t="s">
        <v>19</v>
      </c>
      <c r="K149" s="262"/>
      <c r="L149" s="265">
        <v>2980</v>
      </c>
      <c r="M149" s="262"/>
      <c r="N149" s="282">
        <f>I149*L149</f>
        <v>0</v>
      </c>
      <c r="O149" s="277"/>
    </row>
    <row r="150" spans="1:15" hidden="1">
      <c r="A150" s="273"/>
      <c r="B150" s="262"/>
      <c r="C150" s="262"/>
      <c r="D150" s="262" t="s">
        <v>352</v>
      </c>
      <c r="E150" s="296"/>
      <c r="F150" s="265"/>
      <c r="G150" s="265"/>
      <c r="H150" s="262"/>
      <c r="I150" s="266"/>
      <c r="J150" s="267" t="s">
        <v>19</v>
      </c>
      <c r="K150" s="262"/>
      <c r="L150" s="265">
        <v>3755</v>
      </c>
      <c r="M150" s="262"/>
      <c r="N150" s="282">
        <f>I150*L150</f>
        <v>0</v>
      </c>
      <c r="O150" s="277"/>
    </row>
    <row r="151" spans="1:15" hidden="1">
      <c r="A151" s="273"/>
      <c r="B151" s="262"/>
      <c r="C151" s="262"/>
      <c r="D151" s="262" t="s">
        <v>353</v>
      </c>
      <c r="E151" s="296"/>
      <c r="F151" s="265"/>
      <c r="G151" s="265"/>
      <c r="H151" s="262"/>
      <c r="I151" s="266"/>
      <c r="J151" s="267" t="s">
        <v>19</v>
      </c>
      <c r="K151" s="262"/>
      <c r="L151" s="265">
        <v>5185</v>
      </c>
      <c r="M151" s="262"/>
      <c r="N151" s="282">
        <f>I151*L151</f>
        <v>0</v>
      </c>
      <c r="O151" s="277"/>
    </row>
    <row r="152" spans="1:15" hidden="1">
      <c r="A152" s="273"/>
      <c r="B152" s="262"/>
      <c r="C152" s="262"/>
      <c r="D152" s="262" t="s">
        <v>354</v>
      </c>
      <c r="E152" s="296"/>
      <c r="F152" s="265"/>
      <c r="G152" s="265"/>
      <c r="H152" s="262"/>
      <c r="I152" s="266"/>
      <c r="J152" s="267" t="s">
        <v>19</v>
      </c>
      <c r="K152" s="262"/>
      <c r="L152" s="265">
        <v>6305</v>
      </c>
      <c r="M152" s="262"/>
      <c r="N152" s="282">
        <f>I152*L152</f>
        <v>0</v>
      </c>
      <c r="O152" s="277"/>
    </row>
    <row r="153" spans="1:15" hidden="1">
      <c r="A153" s="273"/>
      <c r="B153" s="262"/>
      <c r="C153" s="262"/>
      <c r="D153" s="262"/>
      <c r="E153" s="296"/>
      <c r="F153" s="265"/>
      <c r="G153" s="265"/>
      <c r="H153" s="262"/>
      <c r="I153" s="266"/>
      <c r="J153" s="267"/>
      <c r="K153" s="262"/>
      <c r="L153" s="265"/>
      <c r="M153" s="262"/>
      <c r="N153" s="262"/>
      <c r="O153" s="277"/>
    </row>
    <row r="154" spans="1:15" ht="16" hidden="1" thickBot="1">
      <c r="A154" s="273"/>
      <c r="B154" s="262"/>
      <c r="C154" s="262"/>
      <c r="D154" s="262"/>
      <c r="E154" s="296"/>
      <c r="F154" s="265"/>
      <c r="G154" s="265"/>
      <c r="H154" s="262"/>
      <c r="I154" s="266"/>
      <c r="J154" s="267"/>
      <c r="K154" s="283"/>
      <c r="L154" s="284" t="s">
        <v>308</v>
      </c>
      <c r="M154" s="283" t="s">
        <v>309</v>
      </c>
      <c r="N154" s="285">
        <f>SUM(N39:N139)</f>
        <v>3530</v>
      </c>
      <c r="O154" s="277"/>
    </row>
    <row r="155" spans="1:15" ht="16" hidden="1" thickBot="1">
      <c r="A155" s="286"/>
      <c r="B155" s="287"/>
      <c r="C155" s="287"/>
      <c r="D155" s="287"/>
      <c r="E155" s="300"/>
      <c r="F155" s="289"/>
      <c r="G155" s="289"/>
      <c r="H155" s="287"/>
      <c r="I155" s="290"/>
      <c r="J155" s="291"/>
      <c r="K155" s="287"/>
      <c r="L155" s="289"/>
      <c r="M155" s="287"/>
      <c r="N155" s="287"/>
      <c r="O155" s="292"/>
    </row>
    <row r="156" spans="1:15">
      <c r="A156" s="262"/>
      <c r="B156" s="262"/>
      <c r="C156" s="262"/>
      <c r="D156" s="262"/>
      <c r="E156" s="296"/>
      <c r="F156" s="265"/>
      <c r="G156" s="265"/>
      <c r="H156" s="262"/>
      <c r="I156" s="266"/>
      <c r="J156" s="267"/>
      <c r="K156" s="262"/>
      <c r="L156" s="265"/>
      <c r="M156" s="262"/>
      <c r="N156" s="262"/>
      <c r="O156" s="262"/>
    </row>
  </sheetData>
  <mergeCells count="5">
    <mergeCell ref="J4:M4"/>
    <mergeCell ref="E6:F6"/>
    <mergeCell ref="E7:F7"/>
    <mergeCell ref="J36:M36"/>
    <mergeCell ref="E37:F37"/>
  </mergeCells>
  <pageMargins left="0.25" right="0.25" top="0.17000000000000004" bottom="0.55000000000000004" header="0.17000000000000004" footer="0.24000000000000002"/>
  <pageSetup orientation="landscape"/>
  <headerFooter>
    <oddFooter>&amp;LDate Printed : &amp;D_x000D_Time Printed : &amp;T&amp;RFilename : &amp;F_x000D_Sheetname : &amp;A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80AED-E227-A542-8132-9A22B097C436}">
  <dimension ref="A1:BU354"/>
  <sheetViews>
    <sheetView workbookViewId="0">
      <selection activeCell="F56" sqref="F56"/>
    </sheetView>
  </sheetViews>
  <sheetFormatPr baseColWidth="10" defaultColWidth="8.83203125" defaultRowHeight="13"/>
  <cols>
    <col min="1" max="16" width="14" style="306" customWidth="1"/>
    <col min="17" max="29" width="8.83203125" style="306"/>
    <col min="30" max="30" width="10.83203125" style="306" customWidth="1"/>
    <col min="31" max="16384" width="8.83203125" style="306"/>
  </cols>
  <sheetData>
    <row r="1" spans="1:73">
      <c r="A1" s="302"/>
      <c r="B1" s="302"/>
      <c r="C1" s="1189" t="s">
        <v>483</v>
      </c>
      <c r="D1" s="1189"/>
      <c r="E1" s="303"/>
      <c r="F1" s="304"/>
      <c r="G1" s="302"/>
      <c r="H1" s="305" t="s">
        <v>360</v>
      </c>
      <c r="I1" s="302"/>
      <c r="J1" s="1193" t="s">
        <v>484</v>
      </c>
      <c r="K1" s="1194"/>
      <c r="L1" s="302"/>
      <c r="M1" s="302"/>
      <c r="N1" s="302"/>
      <c r="O1" s="302"/>
      <c r="P1" s="302"/>
      <c r="Q1" s="302"/>
      <c r="R1" s="302"/>
      <c r="S1" s="302"/>
      <c r="T1" s="302"/>
      <c r="U1" s="302"/>
      <c r="V1" s="302"/>
      <c r="W1" s="302"/>
      <c r="X1" s="302"/>
      <c r="Y1" s="302"/>
      <c r="Z1" s="302"/>
      <c r="AA1" s="302"/>
      <c r="AB1" s="302"/>
      <c r="AC1" s="302"/>
      <c r="AD1" s="302"/>
      <c r="AE1" s="302"/>
      <c r="AF1" s="302"/>
      <c r="AG1" s="302"/>
      <c r="AH1" s="302"/>
      <c r="AI1" s="302"/>
      <c r="AJ1" s="302"/>
      <c r="AK1" s="302"/>
      <c r="AL1" s="302"/>
      <c r="AM1" s="302"/>
      <c r="AN1" s="302"/>
      <c r="AO1" s="302"/>
      <c r="AP1" s="302"/>
      <c r="AQ1" s="302"/>
      <c r="AR1" s="302"/>
      <c r="AS1" s="302"/>
      <c r="AT1" s="302"/>
      <c r="AU1" s="302"/>
      <c r="AV1" s="302"/>
      <c r="AW1" s="302"/>
      <c r="AX1" s="302"/>
      <c r="AY1" s="302"/>
      <c r="AZ1" s="302"/>
      <c r="BA1" s="302"/>
      <c r="BB1" s="302"/>
      <c r="BC1" s="302"/>
      <c r="BD1" s="302"/>
      <c r="BE1" s="302"/>
      <c r="BF1" s="302"/>
      <c r="BG1" s="302"/>
      <c r="BH1" s="302"/>
      <c r="BI1" s="302"/>
      <c r="BJ1" s="302"/>
      <c r="BK1" s="302"/>
      <c r="BL1" s="302"/>
      <c r="BM1" s="302"/>
      <c r="BN1" s="302"/>
      <c r="BO1" s="302"/>
      <c r="BP1" s="302"/>
      <c r="BQ1" s="302"/>
      <c r="BR1" s="302"/>
      <c r="BS1" s="302"/>
      <c r="BT1" s="302"/>
      <c r="BU1" s="302"/>
    </row>
    <row r="2" spans="1:73">
      <c r="A2" s="302"/>
      <c r="B2" s="302"/>
      <c r="C2" s="307">
        <v>43438</v>
      </c>
      <c r="D2" s="302"/>
      <c r="E2" s="303"/>
      <c r="F2" s="304"/>
      <c r="G2" s="302"/>
      <c r="H2" s="302"/>
      <c r="I2" s="302"/>
      <c r="J2" s="302"/>
      <c r="K2" s="302"/>
      <c r="L2" s="302"/>
      <c r="M2" s="302"/>
      <c r="N2" s="302"/>
      <c r="O2" s="302"/>
      <c r="P2" s="302"/>
      <c r="Q2" s="302"/>
      <c r="R2" s="302"/>
      <c r="S2" s="302"/>
      <c r="T2" s="302"/>
      <c r="U2" s="302"/>
      <c r="V2" s="302"/>
      <c r="W2" s="302"/>
      <c r="X2" s="302"/>
      <c r="Y2" s="302"/>
      <c r="Z2" s="302"/>
      <c r="AA2" s="302"/>
      <c r="AB2" s="302"/>
      <c r="AC2" s="302"/>
      <c r="AD2" s="302"/>
      <c r="AE2" s="302"/>
      <c r="AF2" s="302"/>
      <c r="AG2" s="302"/>
      <c r="AH2" s="302"/>
      <c r="AI2" s="302"/>
      <c r="AJ2" s="302"/>
      <c r="AK2" s="302"/>
      <c r="AL2" s="302"/>
      <c r="AM2" s="302"/>
      <c r="AN2" s="302"/>
      <c r="AO2" s="302"/>
      <c r="AP2" s="302"/>
      <c r="AQ2" s="302"/>
      <c r="AR2" s="302"/>
      <c r="AS2" s="302"/>
      <c r="AT2" s="302"/>
      <c r="AU2" s="302"/>
      <c r="AV2" s="302"/>
      <c r="AW2" s="302"/>
      <c r="AX2" s="302"/>
      <c r="AY2" s="302"/>
      <c r="AZ2" s="302"/>
      <c r="BA2" s="302"/>
      <c r="BB2" s="302"/>
      <c r="BC2" s="302"/>
      <c r="BD2" s="302"/>
      <c r="BE2" s="302"/>
      <c r="BF2" s="302"/>
      <c r="BG2" s="302"/>
      <c r="BH2" s="302"/>
      <c r="BI2" s="302"/>
      <c r="BJ2" s="302"/>
      <c r="BK2" s="302"/>
      <c r="BL2" s="302"/>
      <c r="BM2" s="302"/>
      <c r="BN2" s="302"/>
      <c r="BO2" s="302"/>
      <c r="BP2" s="302"/>
      <c r="BQ2" s="302"/>
      <c r="BR2" s="302"/>
      <c r="BS2" s="302"/>
      <c r="BT2" s="302"/>
      <c r="BU2" s="302"/>
    </row>
    <row r="3" spans="1:73">
      <c r="A3" s="302"/>
      <c r="B3" s="302"/>
      <c r="C3" s="302"/>
      <c r="D3" s="302"/>
      <c r="E3" s="1195" t="s">
        <v>361</v>
      </c>
      <c r="F3" s="1195"/>
      <c r="G3" s="1195"/>
      <c r="H3" s="1195"/>
      <c r="I3" s="1195"/>
      <c r="J3" s="1195"/>
      <c r="K3" s="1195"/>
      <c r="L3" s="302"/>
      <c r="M3" s="302"/>
      <c r="N3" s="302"/>
      <c r="O3" s="302"/>
      <c r="P3" s="302"/>
      <c r="Q3" s="302"/>
      <c r="R3" s="302"/>
      <c r="S3" s="302"/>
      <c r="T3" s="302"/>
      <c r="U3" s="302"/>
      <c r="V3" s="302"/>
      <c r="W3" s="302"/>
      <c r="X3" s="302"/>
      <c r="Y3" s="302"/>
      <c r="Z3" s="302"/>
      <c r="AA3" s="302"/>
      <c r="AB3" s="302"/>
      <c r="AC3" s="302"/>
      <c r="AD3" s="302"/>
      <c r="AE3" s="302"/>
      <c r="AF3" s="302"/>
      <c r="AG3" s="302"/>
      <c r="AH3" s="302"/>
      <c r="AI3" s="302"/>
      <c r="AJ3" s="302"/>
      <c r="AK3" s="302"/>
      <c r="AL3" s="302"/>
      <c r="AM3" s="302"/>
      <c r="AN3" s="302"/>
      <c r="AO3" s="302"/>
      <c r="AP3" s="302"/>
      <c r="AQ3" s="302"/>
      <c r="AR3" s="302"/>
      <c r="AS3" s="302"/>
      <c r="AT3" s="302"/>
      <c r="AU3" s="302"/>
      <c r="AV3" s="302"/>
      <c r="AW3" s="302"/>
      <c r="AX3" s="302"/>
      <c r="AY3" s="302"/>
      <c r="AZ3" s="302"/>
      <c r="BA3" s="302"/>
      <c r="BB3" s="302"/>
      <c r="BC3" s="302"/>
      <c r="BD3" s="302"/>
      <c r="BE3" s="302"/>
      <c r="BF3" s="302"/>
      <c r="BG3" s="302"/>
      <c r="BH3" s="302"/>
      <c r="BI3" s="302"/>
      <c r="BJ3" s="302"/>
      <c r="BK3" s="302"/>
      <c r="BL3" s="302"/>
      <c r="BM3" s="302"/>
      <c r="BN3" s="302"/>
      <c r="BO3" s="302"/>
      <c r="BP3" s="302"/>
      <c r="BQ3" s="302"/>
      <c r="BR3" s="302"/>
      <c r="BS3" s="302"/>
      <c r="BT3" s="302"/>
      <c r="BU3" s="302"/>
    </row>
    <row r="4" spans="1:73">
      <c r="A4" s="302"/>
      <c r="B4" s="305"/>
      <c r="C4" s="305" t="s">
        <v>43</v>
      </c>
      <c r="D4" s="305"/>
      <c r="E4" s="1195"/>
      <c r="F4" s="1195"/>
      <c r="G4" s="1195"/>
      <c r="H4" s="1195"/>
      <c r="I4" s="1195"/>
      <c r="J4" s="1195"/>
      <c r="K4" s="1195"/>
      <c r="L4" s="305"/>
      <c r="M4" s="305"/>
      <c r="N4" s="305"/>
      <c r="O4" s="305"/>
      <c r="P4" s="305"/>
      <c r="Q4" s="305"/>
      <c r="R4" s="305"/>
      <c r="S4" s="305"/>
      <c r="T4" s="305"/>
      <c r="U4" s="305"/>
      <c r="V4" s="305"/>
      <c r="W4" s="305"/>
      <c r="X4" s="305"/>
      <c r="Y4" s="305"/>
      <c r="Z4" s="305"/>
      <c r="AA4" s="305"/>
      <c r="AB4" s="305"/>
      <c r="AC4" s="305"/>
      <c r="AD4" s="305"/>
      <c r="AE4" s="305"/>
      <c r="AF4" s="305" t="s">
        <v>44</v>
      </c>
      <c r="AG4" s="305"/>
      <c r="AH4" s="305"/>
      <c r="AI4" s="305"/>
      <c r="AJ4" s="305"/>
      <c r="AK4" s="305"/>
      <c r="AL4" s="305"/>
      <c r="AM4" s="305"/>
      <c r="AN4" s="305"/>
      <c r="AO4" s="305"/>
      <c r="AP4" s="305"/>
      <c r="AQ4" s="305"/>
      <c r="AR4" s="305"/>
      <c r="AS4" s="305"/>
      <c r="AT4" s="305"/>
      <c r="AU4" s="305"/>
      <c r="AV4" s="305"/>
      <c r="AW4" s="305"/>
      <c r="AX4" s="305"/>
      <c r="AY4" s="305"/>
      <c r="AZ4" s="305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2"/>
      <c r="BP4" s="302"/>
      <c r="BQ4" s="302"/>
      <c r="BR4" s="302"/>
      <c r="BS4" s="302"/>
      <c r="BT4" s="302"/>
      <c r="BU4" s="302"/>
    </row>
    <row r="5" spans="1:73">
      <c r="A5" s="302"/>
      <c r="B5" s="305"/>
      <c r="C5" s="308" t="s">
        <v>45</v>
      </c>
      <c r="D5" s="305"/>
      <c r="E5" s="1196"/>
      <c r="F5" s="1196"/>
      <c r="G5" s="1196"/>
      <c r="H5" s="1196"/>
      <c r="I5" s="1196"/>
      <c r="J5" s="1196"/>
      <c r="K5" s="1196"/>
      <c r="L5" s="305"/>
      <c r="M5" s="305"/>
      <c r="N5" s="305"/>
      <c r="O5" s="305"/>
      <c r="P5" s="305"/>
      <c r="Q5" s="305"/>
      <c r="R5" s="305"/>
      <c r="S5" s="305"/>
      <c r="T5" s="305"/>
      <c r="U5" s="305"/>
      <c r="V5" s="305"/>
      <c r="W5" s="305"/>
      <c r="X5" s="305"/>
      <c r="Y5" s="305"/>
      <c r="Z5" s="305"/>
      <c r="AA5" s="305"/>
      <c r="AB5" s="305"/>
      <c r="AC5" s="305"/>
      <c r="AD5" s="305"/>
      <c r="AE5" s="305"/>
      <c r="AF5" s="305" t="s">
        <v>46</v>
      </c>
      <c r="AG5" s="305"/>
      <c r="AH5" s="305"/>
      <c r="AI5" s="305"/>
      <c r="AJ5" s="305"/>
      <c r="AK5" s="305"/>
      <c r="AL5" s="305"/>
      <c r="AM5" s="305"/>
      <c r="AN5" s="305"/>
      <c r="AO5" s="305"/>
      <c r="AP5" s="305"/>
      <c r="AQ5" s="305"/>
      <c r="AR5" s="305"/>
      <c r="AS5" s="305"/>
      <c r="AT5" s="305"/>
      <c r="AU5" s="305"/>
      <c r="AV5" s="305"/>
      <c r="AW5" s="305"/>
      <c r="AX5" s="305"/>
      <c r="AY5" s="305"/>
      <c r="AZ5" s="305"/>
      <c r="BA5" s="305"/>
      <c r="BB5" s="302"/>
      <c r="BC5" s="302"/>
      <c r="BD5" s="302"/>
      <c r="BE5" s="302"/>
      <c r="BF5" s="302"/>
      <c r="BG5" s="302"/>
      <c r="BH5" s="302"/>
      <c r="BI5" s="302"/>
      <c r="BJ5" s="302"/>
      <c r="BK5" s="302"/>
      <c r="BL5" s="302"/>
      <c r="BM5" s="302"/>
      <c r="BN5" s="302"/>
      <c r="BO5" s="302"/>
      <c r="BP5" s="302"/>
      <c r="BQ5" s="302"/>
      <c r="BR5" s="302"/>
      <c r="BS5" s="302"/>
      <c r="BT5" s="302"/>
      <c r="BU5" s="302"/>
    </row>
    <row r="6" spans="1:73" s="315" customFormat="1">
      <c r="A6" s="304"/>
      <c r="B6" s="309"/>
      <c r="C6" s="310" t="s">
        <v>47</v>
      </c>
      <c r="D6" s="311"/>
      <c r="E6" s="311"/>
      <c r="F6" s="312"/>
      <c r="G6" s="310" t="s">
        <v>48</v>
      </c>
      <c r="H6" s="311"/>
      <c r="I6" s="311"/>
      <c r="J6" s="312"/>
      <c r="K6" s="313"/>
      <c r="L6" s="310"/>
      <c r="M6" s="312"/>
      <c r="N6" s="311"/>
      <c r="O6" s="311"/>
      <c r="P6" s="312"/>
      <c r="Q6" s="1186" t="s">
        <v>49</v>
      </c>
      <c r="R6" s="1187"/>
      <c r="S6" s="1187"/>
      <c r="T6" s="1187"/>
      <c r="U6" s="1187"/>
      <c r="V6" s="1187"/>
      <c r="W6" s="1187"/>
      <c r="X6" s="1187"/>
      <c r="Y6" s="1187"/>
      <c r="Z6" s="1187"/>
      <c r="AA6" s="1187"/>
      <c r="AB6" s="1187"/>
      <c r="AC6" s="1187"/>
      <c r="AD6" s="314"/>
      <c r="AE6" s="313" t="s">
        <v>50</v>
      </c>
      <c r="AF6" s="313" t="s">
        <v>51</v>
      </c>
      <c r="AG6" s="313" t="s">
        <v>52</v>
      </c>
      <c r="AH6" s="1186" t="s">
        <v>53</v>
      </c>
      <c r="AI6" s="1187"/>
      <c r="AJ6" s="1187"/>
      <c r="AK6" s="1187"/>
      <c r="AL6" s="1187"/>
      <c r="AM6" s="1187"/>
      <c r="AN6" s="1187"/>
      <c r="AO6" s="1187"/>
      <c r="AP6" s="1187"/>
      <c r="AQ6" s="1187"/>
      <c r="AR6" s="1187"/>
      <c r="AS6" s="1187"/>
      <c r="AT6" s="1188"/>
      <c r="AU6" s="1186" t="s">
        <v>54</v>
      </c>
      <c r="AV6" s="1187"/>
      <c r="AW6" s="1187"/>
      <c r="AX6" s="1187"/>
      <c r="AY6" s="1187"/>
      <c r="AZ6" s="1187"/>
      <c r="BA6" s="1187"/>
      <c r="BB6" s="1187"/>
      <c r="BC6" s="1187"/>
      <c r="BD6" s="1187"/>
      <c r="BE6" s="1187"/>
      <c r="BF6" s="1187"/>
      <c r="BG6" s="1188"/>
      <c r="BH6" s="1186" t="s">
        <v>55</v>
      </c>
      <c r="BI6" s="1187"/>
      <c r="BJ6" s="1187"/>
      <c r="BK6" s="1187"/>
      <c r="BL6" s="1187"/>
      <c r="BM6" s="1187"/>
      <c r="BN6" s="1187"/>
      <c r="BO6" s="1187"/>
      <c r="BP6" s="1187"/>
      <c r="BQ6" s="1187"/>
      <c r="BR6" s="1187"/>
      <c r="BS6" s="1187"/>
      <c r="BT6" s="1188"/>
      <c r="BU6" s="304"/>
    </row>
    <row r="7" spans="1:73" s="315" customFormat="1" ht="14">
      <c r="A7" s="304"/>
      <c r="B7" s="309"/>
      <c r="C7" s="316" t="s">
        <v>16</v>
      </c>
      <c r="D7" s="317" t="s">
        <v>56</v>
      </c>
      <c r="E7" s="317" t="s">
        <v>57</v>
      </c>
      <c r="F7" s="318" t="s">
        <v>37</v>
      </c>
      <c r="G7" s="316" t="s">
        <v>16</v>
      </c>
      <c r="H7" s="317" t="s">
        <v>56</v>
      </c>
      <c r="I7" s="317" t="s">
        <v>57</v>
      </c>
      <c r="J7" s="318" t="s">
        <v>37</v>
      </c>
      <c r="K7" s="319" t="s">
        <v>58</v>
      </c>
      <c r="L7" s="316" t="s">
        <v>38</v>
      </c>
      <c r="M7" s="318" t="s">
        <v>59</v>
      </c>
      <c r="N7" s="317" t="s">
        <v>2</v>
      </c>
      <c r="O7" s="317" t="s">
        <v>60</v>
      </c>
      <c r="P7" s="318" t="s">
        <v>61</v>
      </c>
      <c r="Q7" s="320">
        <v>150</v>
      </c>
      <c r="R7" s="320">
        <v>225</v>
      </c>
      <c r="S7" s="321">
        <v>300</v>
      </c>
      <c r="T7" s="321">
        <v>375</v>
      </c>
      <c r="U7" s="321">
        <v>450</v>
      </c>
      <c r="V7" s="321">
        <v>525</v>
      </c>
      <c r="W7" s="321">
        <v>600</v>
      </c>
      <c r="X7" s="321">
        <v>675</v>
      </c>
      <c r="Y7" s="321">
        <v>750</v>
      </c>
      <c r="Z7" s="321">
        <v>900</v>
      </c>
      <c r="AA7" s="321">
        <v>1050</v>
      </c>
      <c r="AB7" s="321">
        <v>1200</v>
      </c>
      <c r="AC7" s="314">
        <v>1350</v>
      </c>
      <c r="AD7" s="314" t="s">
        <v>141</v>
      </c>
      <c r="AE7" s="322" t="s">
        <v>62</v>
      </c>
      <c r="AF7" s="322" t="s">
        <v>63</v>
      </c>
      <c r="AG7" s="322" t="s">
        <v>63</v>
      </c>
      <c r="AH7" s="320">
        <v>150</v>
      </c>
      <c r="AI7" s="323">
        <v>225</v>
      </c>
      <c r="AJ7" s="323">
        <v>300</v>
      </c>
      <c r="AK7" s="323">
        <v>375</v>
      </c>
      <c r="AL7" s="323">
        <v>450</v>
      </c>
      <c r="AM7" s="323">
        <v>525</v>
      </c>
      <c r="AN7" s="323">
        <v>600</v>
      </c>
      <c r="AO7" s="323">
        <v>675</v>
      </c>
      <c r="AP7" s="323">
        <v>750</v>
      </c>
      <c r="AQ7" s="323">
        <v>900</v>
      </c>
      <c r="AR7" s="323">
        <v>1050</v>
      </c>
      <c r="AS7" s="323">
        <v>1200</v>
      </c>
      <c r="AT7" s="314">
        <v>1350</v>
      </c>
      <c r="AU7" s="320">
        <v>150</v>
      </c>
      <c r="AV7" s="323">
        <v>225</v>
      </c>
      <c r="AW7" s="323">
        <v>300</v>
      </c>
      <c r="AX7" s="323">
        <v>375</v>
      </c>
      <c r="AY7" s="323">
        <v>450</v>
      </c>
      <c r="AZ7" s="323">
        <v>525</v>
      </c>
      <c r="BA7" s="323">
        <v>600</v>
      </c>
      <c r="BB7" s="323">
        <v>675</v>
      </c>
      <c r="BC7" s="323">
        <v>750</v>
      </c>
      <c r="BD7" s="323">
        <v>900</v>
      </c>
      <c r="BE7" s="323">
        <v>1050</v>
      </c>
      <c r="BF7" s="323">
        <v>1200</v>
      </c>
      <c r="BG7" s="323">
        <v>1350</v>
      </c>
      <c r="BH7" s="320">
        <v>150</v>
      </c>
      <c r="BI7" s="323">
        <v>225</v>
      </c>
      <c r="BJ7" s="323">
        <v>300</v>
      </c>
      <c r="BK7" s="323">
        <v>375</v>
      </c>
      <c r="BL7" s="323">
        <v>450</v>
      </c>
      <c r="BM7" s="323">
        <v>525</v>
      </c>
      <c r="BN7" s="323">
        <v>600</v>
      </c>
      <c r="BO7" s="323">
        <v>675</v>
      </c>
      <c r="BP7" s="323">
        <v>750</v>
      </c>
      <c r="BQ7" s="323">
        <v>900</v>
      </c>
      <c r="BR7" s="323">
        <v>1050</v>
      </c>
      <c r="BS7" s="323">
        <v>1200</v>
      </c>
      <c r="BT7" s="314">
        <v>1350</v>
      </c>
      <c r="BU7" s="304"/>
    </row>
    <row r="8" spans="1:73" s="342" customFormat="1">
      <c r="A8" s="324"/>
      <c r="B8" s="324"/>
      <c r="C8" s="570" t="s">
        <v>97</v>
      </c>
      <c r="D8" s="572">
        <v>9.6199999999999992</v>
      </c>
      <c r="E8" s="572">
        <v>7.4420000000000002</v>
      </c>
      <c r="F8" s="327">
        <f>D8-E8</f>
        <v>2.177999999999999</v>
      </c>
      <c r="G8" s="570" t="s">
        <v>96</v>
      </c>
      <c r="H8" s="572">
        <v>9.8000000000000007</v>
      </c>
      <c r="I8" s="572">
        <v>7.35</v>
      </c>
      <c r="J8" s="327">
        <f>H8-I8</f>
        <v>2.4500000000000011</v>
      </c>
      <c r="K8" s="328">
        <f>CEILING((F8+J8)/2,0.25)</f>
        <v>2.5</v>
      </c>
      <c r="L8" s="570">
        <v>37</v>
      </c>
      <c r="M8" s="570">
        <v>750</v>
      </c>
      <c r="N8" s="330">
        <f>SUM(AU8:BG8)</f>
        <v>550</v>
      </c>
      <c r="O8" s="330">
        <v>109</v>
      </c>
      <c r="P8" s="331">
        <f>IF((N8-O8)&gt;0,N8-O8,0)</f>
        <v>441</v>
      </c>
      <c r="Q8" s="332" t="str">
        <f t="shared" ref="Q8:Q44" si="0">IF($M8=$Q$7,$L8*$P8,"")</f>
        <v/>
      </c>
      <c r="R8" s="332" t="str">
        <f t="shared" ref="R8:R44" si="1">IF($M8=$R$7,$L8*$P8,"")</f>
        <v/>
      </c>
      <c r="S8" s="333" t="str">
        <f t="shared" ref="S8:S44" si="2">IF($M8=$S$7,$L8*$P8,"")</f>
        <v/>
      </c>
      <c r="T8" s="333" t="str">
        <f t="shared" ref="T8:T44" si="3">IF($M8=$T$7,$L8*$P8,"")</f>
        <v/>
      </c>
      <c r="U8" s="333" t="str">
        <f t="shared" ref="U8:U44" si="4">IF($M8=$U$7,$L8*$P8,"")</f>
        <v/>
      </c>
      <c r="V8" s="333" t="str">
        <f t="shared" ref="V8:V44" si="5">IF($M8=$V$7,$L8*$P8,"")</f>
        <v/>
      </c>
      <c r="W8" s="333" t="str">
        <f t="shared" ref="W8:W44" si="6">IF($M8=$W$7,$L8*$P8,"")</f>
        <v/>
      </c>
      <c r="X8" s="333" t="str">
        <f t="shared" ref="X8:X44" si="7">IF($M8=$X$7,$L8*$P8,"")</f>
        <v/>
      </c>
      <c r="Y8" s="333">
        <f t="shared" ref="Y8:Y44" si="8">IF($M8=$Y$7,$L8*$P8,"")</f>
        <v>16317</v>
      </c>
      <c r="Z8" s="333" t="str">
        <f t="shared" ref="Z8:Z44" si="9">IF($M8=$Z$7,$L8*$P8,"")</f>
        <v/>
      </c>
      <c r="AA8" s="333" t="str">
        <f t="shared" ref="AA8:AA44" si="10">IF($M8=$AA$7,$L8*$P8,"")</f>
        <v/>
      </c>
      <c r="AB8" s="333" t="str">
        <f t="shared" ref="AB8:AB44" si="11">IF($M8=$AB$7,$L8*$P8,"")</f>
        <v/>
      </c>
      <c r="AC8" s="334" t="str">
        <f t="shared" ref="AC8:AC15" si="12">IF($M8=$AC$7,$L8*$P8,"")</f>
        <v/>
      </c>
      <c r="AD8" s="335"/>
      <c r="AE8" s="336">
        <f>L8*((M8/1000/2*M8/1000/2)*3.14)</f>
        <v>16.337812500000002</v>
      </c>
      <c r="AF8" s="337">
        <f>((M8/1000)+0.225*2)*(K8-0.45)*L8</f>
        <v>91.019999999999982</v>
      </c>
      <c r="AG8" s="338">
        <f>IF(L8&gt;0,(0.675*(2-0.45)*L8),0)</f>
        <v>38.711250000000007</v>
      </c>
      <c r="AH8" s="339">
        <v>394</v>
      </c>
      <c r="AI8" s="340">
        <v>416</v>
      </c>
      <c r="AJ8" s="340">
        <v>0</v>
      </c>
      <c r="AK8" s="340">
        <v>0</v>
      </c>
      <c r="AL8" s="340">
        <v>0</v>
      </c>
      <c r="AM8" s="340">
        <v>0</v>
      </c>
      <c r="AN8" s="340">
        <v>488</v>
      </c>
      <c r="AO8" s="340">
        <v>506</v>
      </c>
      <c r="AP8" s="340">
        <v>550</v>
      </c>
      <c r="AQ8" s="340">
        <v>630</v>
      </c>
      <c r="AR8" s="340">
        <v>680</v>
      </c>
      <c r="AS8" s="340">
        <v>789</v>
      </c>
      <c r="AT8" s="341">
        <v>849</v>
      </c>
      <c r="AU8" s="339">
        <f>IF($M8=$AH$7,AH8,0)</f>
        <v>0</v>
      </c>
      <c r="AV8" s="340">
        <f>IF($M8=$AI$7,AI8,0)</f>
        <v>0</v>
      </c>
      <c r="AW8" s="340">
        <f>IF($M8=$AJ$7,AJ8,0)</f>
        <v>0</v>
      </c>
      <c r="AX8" s="340">
        <f>IF($M8=$AK$7,AK8,0)</f>
        <v>0</v>
      </c>
      <c r="AY8" s="340">
        <f>IF($M8=$AL$7,AL8,0)</f>
        <v>0</v>
      </c>
      <c r="AZ8" s="340">
        <f>IF($M8=$AM$7,AM8,0)</f>
        <v>0</v>
      </c>
      <c r="BA8" s="340">
        <f>IF($M8=$AN$7,AN8,0)</f>
        <v>0</v>
      </c>
      <c r="BB8" s="340">
        <f>IF($M8=$AO$7,AO8,0)</f>
        <v>0</v>
      </c>
      <c r="BC8" s="340">
        <f>IF($M8=$AP$7,AP8,0)</f>
        <v>550</v>
      </c>
      <c r="BD8" s="340">
        <f>IF($M8=$AQ$7,AQ8,0)</f>
        <v>0</v>
      </c>
      <c r="BE8" s="340">
        <f>IF($M8=$AR$7,AR8,0)</f>
        <v>0</v>
      </c>
      <c r="BF8" s="340">
        <f>IF($M8=$AS$7,AS8,0)</f>
        <v>0</v>
      </c>
      <c r="BG8" s="340">
        <f>IF($M8=$AT$7,AT8,0)</f>
        <v>0</v>
      </c>
      <c r="BH8" s="339" t="str">
        <f t="shared" ref="BH8:BH44" si="13">IF($M8=$Q$7,$L8,"")</f>
        <v/>
      </c>
      <c r="BI8" s="340" t="str">
        <f t="shared" ref="BI8:BI44" si="14">IF($M8=$R$7,$L8,"")</f>
        <v/>
      </c>
      <c r="BJ8" s="340" t="str">
        <f t="shared" ref="BJ8:BJ44" si="15">IF($M8=$S$7,$L8,"")</f>
        <v/>
      </c>
      <c r="BK8" s="340" t="str">
        <f t="shared" ref="BK8:BK44" si="16">IF($M8=$T$7,$L8,"")</f>
        <v/>
      </c>
      <c r="BL8" s="340" t="str">
        <f t="shared" ref="BL8:BL44" si="17">IF($M8=$U$7,$L8,"")</f>
        <v/>
      </c>
      <c r="BM8" s="340" t="str">
        <f t="shared" ref="BM8:BM44" si="18">IF($M8=$V$7,$L8,"")</f>
        <v/>
      </c>
      <c r="BN8" s="340" t="str">
        <f t="shared" ref="BN8:BN44" si="19">IF($M8=$W$7,$L8,"")</f>
        <v/>
      </c>
      <c r="BO8" s="340" t="str">
        <f t="shared" ref="BO8:BO44" si="20">IF($M8=$X$7,$L8,"")</f>
        <v/>
      </c>
      <c r="BP8" s="340">
        <f t="shared" ref="BP8:BP44" si="21">IF($M8=$Y$7,$L8,"")</f>
        <v>37</v>
      </c>
      <c r="BQ8" s="340" t="str">
        <f t="shared" ref="BQ8:BQ44" si="22">IF($M8=$Z$7,$L8,"")</f>
        <v/>
      </c>
      <c r="BR8" s="340" t="str">
        <f t="shared" ref="BR8:BR44" si="23">IF($M8=$AA$7,$L8,"")</f>
        <v/>
      </c>
      <c r="BS8" s="340" t="str">
        <f t="shared" ref="BS8:BS44" si="24">IF($M8=$AB$7,$L8,"")</f>
        <v/>
      </c>
      <c r="BT8" s="341" t="str">
        <f t="shared" ref="BT8:BT44" si="25">IF($M8=$AC$7,$L8,"")</f>
        <v/>
      </c>
      <c r="BU8" s="324"/>
    </row>
    <row r="9" spans="1:73" s="342" customFormat="1">
      <c r="A9" s="324"/>
      <c r="B9" s="324"/>
      <c r="C9" s="570" t="s">
        <v>96</v>
      </c>
      <c r="D9" s="572">
        <v>9.8000000000000007</v>
      </c>
      <c r="E9" s="572">
        <v>7.35</v>
      </c>
      <c r="F9" s="327">
        <f t="shared" ref="F9:F32" si="26">D9-E9</f>
        <v>2.4500000000000011</v>
      </c>
      <c r="G9" s="570" t="s">
        <v>89</v>
      </c>
      <c r="H9" s="572">
        <v>9.5</v>
      </c>
      <c r="I9" s="572">
        <v>7.2549999999999999</v>
      </c>
      <c r="J9" s="327">
        <f t="shared" ref="J9:J32" si="27">H9-I9</f>
        <v>2.2450000000000001</v>
      </c>
      <c r="K9" s="343">
        <f t="shared" ref="K9:K32" si="28">CEILING((F9+J9)/2,0.25)</f>
        <v>2.5</v>
      </c>
      <c r="L9" s="570">
        <v>38</v>
      </c>
      <c r="M9" s="570">
        <v>750</v>
      </c>
      <c r="N9" s="345">
        <f t="shared" ref="N9:N32" si="29">SUM(AU9:BG9)</f>
        <v>516</v>
      </c>
      <c r="O9" s="345">
        <v>109</v>
      </c>
      <c r="P9" s="346">
        <f t="shared" ref="P9:P32" si="30">IF((N9-O9)&gt;0,N9-O9,0)</f>
        <v>407</v>
      </c>
      <c r="Q9" s="332" t="str">
        <f t="shared" si="0"/>
        <v/>
      </c>
      <c r="R9" s="332" t="str">
        <f t="shared" si="1"/>
        <v/>
      </c>
      <c r="S9" s="333" t="str">
        <f t="shared" si="2"/>
        <v/>
      </c>
      <c r="T9" s="333" t="str">
        <f t="shared" si="3"/>
        <v/>
      </c>
      <c r="U9" s="333" t="str">
        <f t="shared" si="4"/>
        <v/>
      </c>
      <c r="V9" s="333" t="str">
        <f t="shared" si="5"/>
        <v/>
      </c>
      <c r="W9" s="333" t="str">
        <f t="shared" si="6"/>
        <v/>
      </c>
      <c r="X9" s="333" t="str">
        <f t="shared" si="7"/>
        <v/>
      </c>
      <c r="Y9" s="333">
        <f t="shared" si="8"/>
        <v>15466</v>
      </c>
      <c r="Z9" s="333" t="str">
        <f t="shared" si="9"/>
        <v/>
      </c>
      <c r="AA9" s="333" t="str">
        <f t="shared" si="10"/>
        <v/>
      </c>
      <c r="AB9" s="333" t="str">
        <f t="shared" si="11"/>
        <v/>
      </c>
      <c r="AC9" s="334" t="str">
        <f t="shared" si="12"/>
        <v/>
      </c>
      <c r="AD9" s="335"/>
      <c r="AE9" s="336">
        <f t="shared" ref="AE9:AE32" si="31">L9*((M9/1000/2*M9/1000/2)*3.14)</f>
        <v>16.779375000000002</v>
      </c>
      <c r="AF9" s="337">
        <f t="shared" ref="AF9:AF32" si="32">((M9/1000)+0.225*2)*(K9-0.45)*L9</f>
        <v>93.479999999999976</v>
      </c>
      <c r="AG9" s="338">
        <f t="shared" ref="AG9:AG32" si="33">IF(L9&gt;0,(0.675*(2-0.45)*L9),0)</f>
        <v>39.757500000000007</v>
      </c>
      <c r="AH9" s="339">
        <v>364</v>
      </c>
      <c r="AI9" s="340">
        <v>386</v>
      </c>
      <c r="AJ9" s="340">
        <v>0</v>
      </c>
      <c r="AK9" s="340">
        <v>0</v>
      </c>
      <c r="AL9" s="340">
        <v>0</v>
      </c>
      <c r="AM9" s="340">
        <v>0</v>
      </c>
      <c r="AN9" s="340">
        <v>454</v>
      </c>
      <c r="AO9" s="340">
        <v>472</v>
      </c>
      <c r="AP9" s="340">
        <v>516</v>
      </c>
      <c r="AQ9" s="340">
        <v>596</v>
      </c>
      <c r="AR9" s="340">
        <v>646</v>
      </c>
      <c r="AS9" s="340">
        <v>755</v>
      </c>
      <c r="AT9" s="341">
        <v>815</v>
      </c>
      <c r="AU9" s="339">
        <f t="shared" ref="AU9:AU32" si="34">IF($M9=$AH$7,AH9,0)</f>
        <v>0</v>
      </c>
      <c r="AV9" s="340">
        <f t="shared" ref="AV9:AV32" si="35">IF($M9=$AI$7,AI9,0)</f>
        <v>0</v>
      </c>
      <c r="AW9" s="340">
        <f t="shared" ref="AW9:AW32" si="36">IF($M9=$AJ$7,AJ9,0)</f>
        <v>0</v>
      </c>
      <c r="AX9" s="340">
        <f t="shared" ref="AX9:AX32" si="37">IF($M9=$AK$7,AK9,0)</f>
        <v>0</v>
      </c>
      <c r="AY9" s="340">
        <f t="shared" ref="AY9:AY32" si="38">IF($M9=$AL$7,AL9,0)</f>
        <v>0</v>
      </c>
      <c r="AZ9" s="340">
        <f t="shared" ref="AZ9:AZ32" si="39">IF($M9=$AM$7,AM9,0)</f>
        <v>0</v>
      </c>
      <c r="BA9" s="340">
        <f t="shared" ref="BA9:BA32" si="40">IF($M9=$AN$7,AN9,0)</f>
        <v>0</v>
      </c>
      <c r="BB9" s="340">
        <f t="shared" ref="BB9:BB32" si="41">IF($M9=$AO$7,AO9,0)</f>
        <v>0</v>
      </c>
      <c r="BC9" s="340">
        <f t="shared" ref="BC9:BC32" si="42">IF($M9=$AP$7,AP9,0)</f>
        <v>516</v>
      </c>
      <c r="BD9" s="340">
        <f t="shared" ref="BD9:BD32" si="43">IF($M9=$AQ$7,AQ9,0)</f>
        <v>0</v>
      </c>
      <c r="BE9" s="340">
        <f t="shared" ref="BE9:BE32" si="44">IF($M9=$AR$7,AR9,0)</f>
        <v>0</v>
      </c>
      <c r="BF9" s="340">
        <f t="shared" ref="BF9:BF32" si="45">IF($M9=$AS$7,AS9,0)</f>
        <v>0</v>
      </c>
      <c r="BG9" s="340">
        <f t="shared" ref="BG9:BG32" si="46">IF($M9=$AT$7,AT9,0)</f>
        <v>0</v>
      </c>
      <c r="BH9" s="339" t="str">
        <f t="shared" si="13"/>
        <v/>
      </c>
      <c r="BI9" s="340" t="str">
        <f t="shared" si="14"/>
        <v/>
      </c>
      <c r="BJ9" s="340" t="str">
        <f t="shared" si="15"/>
        <v/>
      </c>
      <c r="BK9" s="340" t="str">
        <f t="shared" si="16"/>
        <v/>
      </c>
      <c r="BL9" s="340" t="str">
        <f t="shared" si="17"/>
        <v/>
      </c>
      <c r="BM9" s="340" t="str">
        <f t="shared" si="18"/>
        <v/>
      </c>
      <c r="BN9" s="340" t="str">
        <f t="shared" si="19"/>
        <v/>
      </c>
      <c r="BO9" s="340" t="str">
        <f t="shared" si="20"/>
        <v/>
      </c>
      <c r="BP9" s="340">
        <f t="shared" si="21"/>
        <v>38</v>
      </c>
      <c r="BQ9" s="340" t="str">
        <f t="shared" si="22"/>
        <v/>
      </c>
      <c r="BR9" s="340" t="str">
        <f t="shared" si="23"/>
        <v/>
      </c>
      <c r="BS9" s="340" t="str">
        <f t="shared" si="24"/>
        <v/>
      </c>
      <c r="BT9" s="341" t="str">
        <f t="shared" si="25"/>
        <v/>
      </c>
      <c r="BU9" s="324"/>
    </row>
    <row r="10" spans="1:73" s="342" customFormat="1">
      <c r="A10" s="324"/>
      <c r="B10" s="324"/>
      <c r="C10" s="570" t="s">
        <v>89</v>
      </c>
      <c r="D10" s="572">
        <v>9.5</v>
      </c>
      <c r="E10" s="572">
        <v>7.2549999999999999</v>
      </c>
      <c r="F10" s="327">
        <f t="shared" si="26"/>
        <v>2.2450000000000001</v>
      </c>
      <c r="G10" s="570" t="s">
        <v>88</v>
      </c>
      <c r="H10" s="572">
        <v>9.5500000000000007</v>
      </c>
      <c r="I10" s="572">
        <v>7.0359999999999996</v>
      </c>
      <c r="J10" s="327">
        <f t="shared" si="27"/>
        <v>2.5140000000000011</v>
      </c>
      <c r="K10" s="343">
        <f t="shared" si="28"/>
        <v>2.5</v>
      </c>
      <c r="L10" s="570">
        <v>87</v>
      </c>
      <c r="M10" s="570">
        <v>750</v>
      </c>
      <c r="N10" s="345">
        <f t="shared" si="29"/>
        <v>499</v>
      </c>
      <c r="O10" s="345">
        <v>109</v>
      </c>
      <c r="P10" s="346">
        <f t="shared" si="30"/>
        <v>390</v>
      </c>
      <c r="Q10" s="332" t="str">
        <f t="shared" si="0"/>
        <v/>
      </c>
      <c r="R10" s="332" t="str">
        <f t="shared" si="1"/>
        <v/>
      </c>
      <c r="S10" s="333" t="str">
        <f t="shared" si="2"/>
        <v/>
      </c>
      <c r="T10" s="333" t="str">
        <f t="shared" si="3"/>
        <v/>
      </c>
      <c r="U10" s="333" t="str">
        <f t="shared" si="4"/>
        <v/>
      </c>
      <c r="V10" s="333" t="str">
        <f t="shared" si="5"/>
        <v/>
      </c>
      <c r="W10" s="333" t="str">
        <f t="shared" si="6"/>
        <v/>
      </c>
      <c r="X10" s="333" t="str">
        <f t="shared" si="7"/>
        <v/>
      </c>
      <c r="Y10" s="333">
        <f t="shared" si="8"/>
        <v>33930</v>
      </c>
      <c r="Z10" s="333" t="str">
        <f t="shared" si="9"/>
        <v/>
      </c>
      <c r="AA10" s="333" t="str">
        <f t="shared" si="10"/>
        <v/>
      </c>
      <c r="AB10" s="333" t="str">
        <f t="shared" si="11"/>
        <v/>
      </c>
      <c r="AC10" s="334" t="str">
        <f t="shared" si="12"/>
        <v/>
      </c>
      <c r="AD10" s="335"/>
      <c r="AE10" s="336">
        <f t="shared" si="31"/>
        <v>38.415937500000005</v>
      </c>
      <c r="AF10" s="337">
        <f t="shared" si="32"/>
        <v>214.01999999999995</v>
      </c>
      <c r="AG10" s="338">
        <f t="shared" si="33"/>
        <v>91.023750000000007</v>
      </c>
      <c r="AH10" s="339">
        <v>292</v>
      </c>
      <c r="AI10" s="340">
        <v>371</v>
      </c>
      <c r="AJ10" s="340">
        <v>0</v>
      </c>
      <c r="AK10" s="340">
        <v>0</v>
      </c>
      <c r="AL10" s="340">
        <v>425</v>
      </c>
      <c r="AM10" s="340">
        <v>430</v>
      </c>
      <c r="AN10" s="340">
        <v>437</v>
      </c>
      <c r="AO10" s="340">
        <v>455</v>
      </c>
      <c r="AP10" s="340">
        <v>499</v>
      </c>
      <c r="AQ10" s="340">
        <v>579</v>
      </c>
      <c r="AR10" s="340">
        <v>629</v>
      </c>
      <c r="AS10" s="340">
        <v>738</v>
      </c>
      <c r="AT10" s="341">
        <v>798</v>
      </c>
      <c r="AU10" s="339">
        <f t="shared" si="34"/>
        <v>0</v>
      </c>
      <c r="AV10" s="340">
        <f t="shared" si="35"/>
        <v>0</v>
      </c>
      <c r="AW10" s="340">
        <f t="shared" si="36"/>
        <v>0</v>
      </c>
      <c r="AX10" s="340">
        <f t="shared" si="37"/>
        <v>0</v>
      </c>
      <c r="AY10" s="340">
        <f t="shared" si="38"/>
        <v>0</v>
      </c>
      <c r="AZ10" s="340">
        <f t="shared" si="39"/>
        <v>0</v>
      </c>
      <c r="BA10" s="340">
        <f t="shared" si="40"/>
        <v>0</v>
      </c>
      <c r="BB10" s="340">
        <f t="shared" si="41"/>
        <v>0</v>
      </c>
      <c r="BC10" s="340">
        <f t="shared" si="42"/>
        <v>499</v>
      </c>
      <c r="BD10" s="340">
        <f t="shared" si="43"/>
        <v>0</v>
      </c>
      <c r="BE10" s="340">
        <f t="shared" si="44"/>
        <v>0</v>
      </c>
      <c r="BF10" s="340">
        <f t="shared" si="45"/>
        <v>0</v>
      </c>
      <c r="BG10" s="340">
        <f t="shared" si="46"/>
        <v>0</v>
      </c>
      <c r="BH10" s="339" t="str">
        <f t="shared" si="13"/>
        <v/>
      </c>
      <c r="BI10" s="340" t="str">
        <f t="shared" si="14"/>
        <v/>
      </c>
      <c r="BJ10" s="340" t="str">
        <f t="shared" si="15"/>
        <v/>
      </c>
      <c r="BK10" s="340" t="str">
        <f t="shared" si="16"/>
        <v/>
      </c>
      <c r="BL10" s="340" t="str">
        <f t="shared" si="17"/>
        <v/>
      </c>
      <c r="BM10" s="340" t="str">
        <f t="shared" si="18"/>
        <v/>
      </c>
      <c r="BN10" s="340" t="str">
        <f t="shared" si="19"/>
        <v/>
      </c>
      <c r="BO10" s="340" t="str">
        <f t="shared" si="20"/>
        <v/>
      </c>
      <c r="BP10" s="340">
        <f t="shared" si="21"/>
        <v>87</v>
      </c>
      <c r="BQ10" s="340" t="str">
        <f t="shared" si="22"/>
        <v/>
      </c>
      <c r="BR10" s="340" t="str">
        <f t="shared" si="23"/>
        <v/>
      </c>
      <c r="BS10" s="340" t="str">
        <f t="shared" si="24"/>
        <v/>
      </c>
      <c r="BT10" s="341" t="str">
        <f t="shared" si="25"/>
        <v/>
      </c>
      <c r="BU10" s="324"/>
    </row>
    <row r="11" spans="1:73" s="342" customFormat="1">
      <c r="A11" s="324"/>
      <c r="B11" s="324"/>
      <c r="C11" s="570" t="s">
        <v>88</v>
      </c>
      <c r="D11" s="572">
        <v>9.5500000000000007</v>
      </c>
      <c r="E11" s="572">
        <v>7.0359999999999996</v>
      </c>
      <c r="F11" s="327">
        <f t="shared" si="26"/>
        <v>2.5140000000000011</v>
      </c>
      <c r="G11" s="570" t="s">
        <v>87</v>
      </c>
      <c r="H11" s="572">
        <v>9.5500000000000007</v>
      </c>
      <c r="I11" s="572">
        <v>7.0129999999999999</v>
      </c>
      <c r="J11" s="327">
        <f t="shared" si="27"/>
        <v>2.5370000000000008</v>
      </c>
      <c r="K11" s="343">
        <f t="shared" si="28"/>
        <v>2.75</v>
      </c>
      <c r="L11" s="570">
        <v>9</v>
      </c>
      <c r="M11" s="570">
        <v>750</v>
      </c>
      <c r="N11" s="345">
        <f t="shared" si="29"/>
        <v>448</v>
      </c>
      <c r="O11" s="345">
        <v>109</v>
      </c>
      <c r="P11" s="346">
        <f t="shared" si="30"/>
        <v>339</v>
      </c>
      <c r="Q11" s="332" t="str">
        <f t="shared" si="0"/>
        <v/>
      </c>
      <c r="R11" s="332" t="str">
        <f t="shared" si="1"/>
        <v/>
      </c>
      <c r="S11" s="333" t="str">
        <f t="shared" si="2"/>
        <v/>
      </c>
      <c r="T11" s="333" t="str">
        <f t="shared" si="3"/>
        <v/>
      </c>
      <c r="U11" s="333" t="str">
        <f t="shared" si="4"/>
        <v/>
      </c>
      <c r="V11" s="333" t="str">
        <f t="shared" si="5"/>
        <v/>
      </c>
      <c r="W11" s="333" t="str">
        <f t="shared" si="6"/>
        <v/>
      </c>
      <c r="X11" s="333" t="str">
        <f t="shared" si="7"/>
        <v/>
      </c>
      <c r="Y11" s="333">
        <f t="shared" si="8"/>
        <v>3051</v>
      </c>
      <c r="Z11" s="333" t="str">
        <f t="shared" si="9"/>
        <v/>
      </c>
      <c r="AA11" s="333" t="str">
        <f t="shared" si="10"/>
        <v/>
      </c>
      <c r="AB11" s="333" t="str">
        <f t="shared" si="11"/>
        <v/>
      </c>
      <c r="AC11" s="334" t="str">
        <f t="shared" si="12"/>
        <v/>
      </c>
      <c r="AD11" s="335"/>
      <c r="AE11" s="336">
        <f t="shared" si="31"/>
        <v>3.9740625000000001</v>
      </c>
      <c r="AF11" s="337">
        <f t="shared" si="32"/>
        <v>24.839999999999996</v>
      </c>
      <c r="AG11" s="338">
        <f t="shared" si="33"/>
        <v>9.4162500000000016</v>
      </c>
      <c r="AH11" s="339">
        <v>257</v>
      </c>
      <c r="AI11" s="340">
        <v>326</v>
      </c>
      <c r="AJ11" s="340">
        <v>351</v>
      </c>
      <c r="AK11" s="340">
        <v>383</v>
      </c>
      <c r="AL11" s="340">
        <v>388</v>
      </c>
      <c r="AM11" s="340">
        <v>377</v>
      </c>
      <c r="AN11" s="340">
        <v>386</v>
      </c>
      <c r="AO11" s="340">
        <v>404</v>
      </c>
      <c r="AP11" s="340">
        <v>448</v>
      </c>
      <c r="AQ11" s="340">
        <v>528</v>
      </c>
      <c r="AR11" s="340">
        <v>578</v>
      </c>
      <c r="AS11" s="340">
        <v>677</v>
      </c>
      <c r="AT11" s="341">
        <v>737</v>
      </c>
      <c r="AU11" s="339">
        <f t="shared" si="34"/>
        <v>0</v>
      </c>
      <c r="AV11" s="340">
        <f t="shared" si="35"/>
        <v>0</v>
      </c>
      <c r="AW11" s="340">
        <f t="shared" si="36"/>
        <v>0</v>
      </c>
      <c r="AX11" s="340">
        <f t="shared" si="37"/>
        <v>0</v>
      </c>
      <c r="AY11" s="340">
        <f t="shared" si="38"/>
        <v>0</v>
      </c>
      <c r="AZ11" s="340">
        <f t="shared" si="39"/>
        <v>0</v>
      </c>
      <c r="BA11" s="340">
        <f t="shared" si="40"/>
        <v>0</v>
      </c>
      <c r="BB11" s="340">
        <f t="shared" si="41"/>
        <v>0</v>
      </c>
      <c r="BC11" s="340">
        <f t="shared" si="42"/>
        <v>448</v>
      </c>
      <c r="BD11" s="340">
        <f t="shared" si="43"/>
        <v>0</v>
      </c>
      <c r="BE11" s="340">
        <f t="shared" si="44"/>
        <v>0</v>
      </c>
      <c r="BF11" s="340">
        <f t="shared" si="45"/>
        <v>0</v>
      </c>
      <c r="BG11" s="340">
        <f t="shared" si="46"/>
        <v>0</v>
      </c>
      <c r="BH11" s="339" t="str">
        <f t="shared" si="13"/>
        <v/>
      </c>
      <c r="BI11" s="340" t="str">
        <f t="shared" si="14"/>
        <v/>
      </c>
      <c r="BJ11" s="340" t="str">
        <f t="shared" si="15"/>
        <v/>
      </c>
      <c r="BK11" s="340" t="str">
        <f t="shared" si="16"/>
        <v/>
      </c>
      <c r="BL11" s="340" t="str">
        <f t="shared" si="17"/>
        <v/>
      </c>
      <c r="BM11" s="340" t="str">
        <f t="shared" si="18"/>
        <v/>
      </c>
      <c r="BN11" s="340" t="str">
        <f t="shared" si="19"/>
        <v/>
      </c>
      <c r="BO11" s="340" t="str">
        <f t="shared" si="20"/>
        <v/>
      </c>
      <c r="BP11" s="340">
        <f t="shared" si="21"/>
        <v>9</v>
      </c>
      <c r="BQ11" s="340" t="str">
        <f t="shared" si="22"/>
        <v/>
      </c>
      <c r="BR11" s="340" t="str">
        <f t="shared" si="23"/>
        <v/>
      </c>
      <c r="BS11" s="340" t="str">
        <f t="shared" si="24"/>
        <v/>
      </c>
      <c r="BT11" s="341" t="str">
        <f t="shared" si="25"/>
        <v/>
      </c>
      <c r="BU11" s="324"/>
    </row>
    <row r="12" spans="1:73" s="342" customFormat="1">
      <c r="A12" s="324"/>
      <c r="B12" s="324"/>
      <c r="C12" s="570" t="s">
        <v>87</v>
      </c>
      <c r="D12" s="572">
        <v>9.5500000000000007</v>
      </c>
      <c r="E12" s="572">
        <v>7.0129999999999999</v>
      </c>
      <c r="F12" s="327">
        <f t="shared" si="26"/>
        <v>2.5370000000000008</v>
      </c>
      <c r="G12" s="570" t="s">
        <v>86</v>
      </c>
      <c r="H12" s="572">
        <v>9.5</v>
      </c>
      <c r="I12" s="572">
        <v>6.9450000000000003</v>
      </c>
      <c r="J12" s="327">
        <f t="shared" si="27"/>
        <v>2.5549999999999997</v>
      </c>
      <c r="K12" s="343">
        <f t="shared" si="28"/>
        <v>2.75</v>
      </c>
      <c r="L12" s="570">
        <v>27</v>
      </c>
      <c r="M12" s="570">
        <v>750</v>
      </c>
      <c r="N12" s="345">
        <f t="shared" si="29"/>
        <v>399</v>
      </c>
      <c r="O12" s="345">
        <v>109</v>
      </c>
      <c r="P12" s="346">
        <f t="shared" si="30"/>
        <v>290</v>
      </c>
      <c r="Q12" s="332" t="str">
        <f t="shared" si="0"/>
        <v/>
      </c>
      <c r="R12" s="332" t="str">
        <f t="shared" si="1"/>
        <v/>
      </c>
      <c r="S12" s="333" t="str">
        <f t="shared" si="2"/>
        <v/>
      </c>
      <c r="T12" s="333" t="str">
        <f t="shared" si="3"/>
        <v/>
      </c>
      <c r="U12" s="333" t="str">
        <f t="shared" si="4"/>
        <v/>
      </c>
      <c r="V12" s="333" t="str">
        <f t="shared" si="5"/>
        <v/>
      </c>
      <c r="W12" s="333" t="str">
        <f t="shared" si="6"/>
        <v/>
      </c>
      <c r="X12" s="333" t="str">
        <f t="shared" si="7"/>
        <v/>
      </c>
      <c r="Y12" s="333">
        <f t="shared" si="8"/>
        <v>7830</v>
      </c>
      <c r="Z12" s="333" t="str">
        <f t="shared" si="9"/>
        <v/>
      </c>
      <c r="AA12" s="333" t="str">
        <f t="shared" si="10"/>
        <v/>
      </c>
      <c r="AB12" s="333" t="str">
        <f t="shared" si="11"/>
        <v/>
      </c>
      <c r="AC12" s="334" t="str">
        <f t="shared" si="12"/>
        <v/>
      </c>
      <c r="AD12" s="335"/>
      <c r="AE12" s="336">
        <f t="shared" si="31"/>
        <v>11.922187500000001</v>
      </c>
      <c r="AF12" s="337">
        <f t="shared" si="32"/>
        <v>74.52</v>
      </c>
      <c r="AG12" s="338">
        <f t="shared" si="33"/>
        <v>28.248750000000005</v>
      </c>
      <c r="AH12" s="339">
        <v>234</v>
      </c>
      <c r="AI12" s="340">
        <v>270</v>
      </c>
      <c r="AJ12" s="340">
        <v>291</v>
      </c>
      <c r="AK12" s="340">
        <v>316</v>
      </c>
      <c r="AL12" s="340">
        <v>321</v>
      </c>
      <c r="AM12" s="340">
        <v>305</v>
      </c>
      <c r="AN12" s="340">
        <v>335</v>
      </c>
      <c r="AO12" s="340">
        <v>353</v>
      </c>
      <c r="AP12" s="340">
        <v>399</v>
      </c>
      <c r="AQ12" s="340">
        <v>479</v>
      </c>
      <c r="AR12" s="340">
        <v>529</v>
      </c>
      <c r="AS12" s="340">
        <v>626</v>
      </c>
      <c r="AT12" s="341">
        <v>686</v>
      </c>
      <c r="AU12" s="339">
        <f t="shared" si="34"/>
        <v>0</v>
      </c>
      <c r="AV12" s="340">
        <f t="shared" si="35"/>
        <v>0</v>
      </c>
      <c r="AW12" s="340">
        <f t="shared" si="36"/>
        <v>0</v>
      </c>
      <c r="AX12" s="340">
        <f t="shared" si="37"/>
        <v>0</v>
      </c>
      <c r="AY12" s="340">
        <f t="shared" si="38"/>
        <v>0</v>
      </c>
      <c r="AZ12" s="340">
        <f t="shared" si="39"/>
        <v>0</v>
      </c>
      <c r="BA12" s="340">
        <f t="shared" si="40"/>
        <v>0</v>
      </c>
      <c r="BB12" s="340">
        <f t="shared" si="41"/>
        <v>0</v>
      </c>
      <c r="BC12" s="340">
        <f t="shared" si="42"/>
        <v>399</v>
      </c>
      <c r="BD12" s="340">
        <f t="shared" si="43"/>
        <v>0</v>
      </c>
      <c r="BE12" s="340">
        <f t="shared" si="44"/>
        <v>0</v>
      </c>
      <c r="BF12" s="340">
        <f t="shared" si="45"/>
        <v>0</v>
      </c>
      <c r="BG12" s="340">
        <f t="shared" si="46"/>
        <v>0</v>
      </c>
      <c r="BH12" s="339" t="str">
        <f t="shared" si="13"/>
        <v/>
      </c>
      <c r="BI12" s="340" t="str">
        <f t="shared" si="14"/>
        <v/>
      </c>
      <c r="BJ12" s="340" t="str">
        <f t="shared" si="15"/>
        <v/>
      </c>
      <c r="BK12" s="340" t="str">
        <f t="shared" si="16"/>
        <v/>
      </c>
      <c r="BL12" s="340" t="str">
        <f t="shared" si="17"/>
        <v/>
      </c>
      <c r="BM12" s="340" t="str">
        <f t="shared" si="18"/>
        <v/>
      </c>
      <c r="BN12" s="340" t="str">
        <f t="shared" si="19"/>
        <v/>
      </c>
      <c r="BO12" s="340" t="str">
        <f t="shared" si="20"/>
        <v/>
      </c>
      <c r="BP12" s="340">
        <f t="shared" si="21"/>
        <v>27</v>
      </c>
      <c r="BQ12" s="340" t="str">
        <f t="shared" si="22"/>
        <v/>
      </c>
      <c r="BR12" s="340" t="str">
        <f t="shared" si="23"/>
        <v/>
      </c>
      <c r="BS12" s="340" t="str">
        <f t="shared" si="24"/>
        <v/>
      </c>
      <c r="BT12" s="341" t="str">
        <f t="shared" si="25"/>
        <v/>
      </c>
      <c r="BU12" s="324"/>
    </row>
    <row r="13" spans="1:73" s="342" customFormat="1">
      <c r="A13" s="324"/>
      <c r="B13" s="324"/>
      <c r="C13" s="570" t="s">
        <v>86</v>
      </c>
      <c r="D13" s="572">
        <v>9.5</v>
      </c>
      <c r="E13" s="572">
        <v>6.9450000000000003</v>
      </c>
      <c r="F13" s="327">
        <f t="shared" si="26"/>
        <v>2.5549999999999997</v>
      </c>
      <c r="G13" s="570" t="s">
        <v>85</v>
      </c>
      <c r="H13" s="572">
        <v>9.6999999999999993</v>
      </c>
      <c r="I13" s="572">
        <v>6.859</v>
      </c>
      <c r="J13" s="327">
        <f t="shared" si="27"/>
        <v>2.8409999999999993</v>
      </c>
      <c r="K13" s="343">
        <f t="shared" si="28"/>
        <v>2.75</v>
      </c>
      <c r="L13" s="570">
        <v>35</v>
      </c>
      <c r="M13" s="570">
        <v>750</v>
      </c>
      <c r="N13" s="345">
        <f t="shared" si="29"/>
        <v>338</v>
      </c>
      <c r="O13" s="345">
        <v>109</v>
      </c>
      <c r="P13" s="346">
        <f t="shared" si="30"/>
        <v>229</v>
      </c>
      <c r="Q13" s="332" t="str">
        <f t="shared" si="0"/>
        <v/>
      </c>
      <c r="R13" s="332" t="str">
        <f t="shared" si="1"/>
        <v/>
      </c>
      <c r="S13" s="333" t="str">
        <f t="shared" si="2"/>
        <v/>
      </c>
      <c r="T13" s="333" t="str">
        <f t="shared" si="3"/>
        <v/>
      </c>
      <c r="U13" s="333" t="str">
        <f t="shared" si="4"/>
        <v/>
      </c>
      <c r="V13" s="333" t="str">
        <f t="shared" si="5"/>
        <v/>
      </c>
      <c r="W13" s="333" t="str">
        <f t="shared" si="6"/>
        <v/>
      </c>
      <c r="X13" s="333" t="str">
        <f t="shared" si="7"/>
        <v/>
      </c>
      <c r="Y13" s="333">
        <f t="shared" si="8"/>
        <v>8015</v>
      </c>
      <c r="Z13" s="333" t="str">
        <f t="shared" si="9"/>
        <v/>
      </c>
      <c r="AA13" s="333" t="str">
        <f t="shared" si="10"/>
        <v/>
      </c>
      <c r="AB13" s="333" t="str">
        <f t="shared" si="11"/>
        <v/>
      </c>
      <c r="AC13" s="334" t="str">
        <f t="shared" si="12"/>
        <v/>
      </c>
      <c r="AD13" s="335"/>
      <c r="AE13" s="336">
        <f t="shared" si="31"/>
        <v>15.4546875</v>
      </c>
      <c r="AF13" s="337">
        <f t="shared" si="32"/>
        <v>96.6</v>
      </c>
      <c r="AG13" s="338">
        <f t="shared" si="33"/>
        <v>36.618750000000006</v>
      </c>
      <c r="AH13" s="339">
        <v>187</v>
      </c>
      <c r="AI13" s="340">
        <v>210</v>
      </c>
      <c r="AJ13" s="340">
        <v>231</v>
      </c>
      <c r="AK13" s="340">
        <v>245</v>
      </c>
      <c r="AL13" s="340">
        <v>261</v>
      </c>
      <c r="AM13" s="340">
        <v>263</v>
      </c>
      <c r="AN13" s="340">
        <v>284</v>
      </c>
      <c r="AO13" s="340">
        <v>302</v>
      </c>
      <c r="AP13" s="340">
        <v>338</v>
      </c>
      <c r="AQ13" s="340">
        <v>418</v>
      </c>
      <c r="AR13" s="340">
        <v>468</v>
      </c>
      <c r="AS13" s="340">
        <v>570</v>
      </c>
      <c r="AT13" s="341">
        <v>630</v>
      </c>
      <c r="AU13" s="339">
        <f t="shared" si="34"/>
        <v>0</v>
      </c>
      <c r="AV13" s="340">
        <f t="shared" si="35"/>
        <v>0</v>
      </c>
      <c r="AW13" s="340">
        <f t="shared" si="36"/>
        <v>0</v>
      </c>
      <c r="AX13" s="340">
        <f t="shared" si="37"/>
        <v>0</v>
      </c>
      <c r="AY13" s="340">
        <f t="shared" si="38"/>
        <v>0</v>
      </c>
      <c r="AZ13" s="340">
        <f t="shared" si="39"/>
        <v>0</v>
      </c>
      <c r="BA13" s="340">
        <f t="shared" si="40"/>
        <v>0</v>
      </c>
      <c r="BB13" s="340">
        <f t="shared" si="41"/>
        <v>0</v>
      </c>
      <c r="BC13" s="340">
        <f t="shared" si="42"/>
        <v>338</v>
      </c>
      <c r="BD13" s="340">
        <f t="shared" si="43"/>
        <v>0</v>
      </c>
      <c r="BE13" s="340">
        <f t="shared" si="44"/>
        <v>0</v>
      </c>
      <c r="BF13" s="340">
        <f t="shared" si="45"/>
        <v>0</v>
      </c>
      <c r="BG13" s="340">
        <f t="shared" si="46"/>
        <v>0</v>
      </c>
      <c r="BH13" s="339" t="str">
        <f t="shared" si="13"/>
        <v/>
      </c>
      <c r="BI13" s="340" t="str">
        <f t="shared" si="14"/>
        <v/>
      </c>
      <c r="BJ13" s="340" t="str">
        <f t="shared" si="15"/>
        <v/>
      </c>
      <c r="BK13" s="340" t="str">
        <f t="shared" si="16"/>
        <v/>
      </c>
      <c r="BL13" s="340" t="str">
        <f t="shared" si="17"/>
        <v/>
      </c>
      <c r="BM13" s="340" t="str">
        <f t="shared" si="18"/>
        <v/>
      </c>
      <c r="BN13" s="340" t="str">
        <f t="shared" si="19"/>
        <v/>
      </c>
      <c r="BO13" s="340" t="str">
        <f t="shared" si="20"/>
        <v/>
      </c>
      <c r="BP13" s="340">
        <f t="shared" si="21"/>
        <v>35</v>
      </c>
      <c r="BQ13" s="340" t="str">
        <f t="shared" si="22"/>
        <v/>
      </c>
      <c r="BR13" s="340" t="str">
        <f t="shared" si="23"/>
        <v/>
      </c>
      <c r="BS13" s="340" t="str">
        <f t="shared" si="24"/>
        <v/>
      </c>
      <c r="BT13" s="341" t="str">
        <f t="shared" si="25"/>
        <v/>
      </c>
      <c r="BU13" s="324"/>
    </row>
    <row r="14" spans="1:73" s="342" customFormat="1">
      <c r="A14" s="324"/>
      <c r="B14" s="324"/>
      <c r="C14" s="570" t="s">
        <v>85</v>
      </c>
      <c r="D14" s="572">
        <v>9.6999999999999993</v>
      </c>
      <c r="E14" s="572">
        <v>6.859</v>
      </c>
      <c r="F14" s="327">
        <f t="shared" si="26"/>
        <v>2.8409999999999993</v>
      </c>
      <c r="G14" s="570" t="s">
        <v>84</v>
      </c>
      <c r="H14" s="572">
        <v>9.3000000000000007</v>
      </c>
      <c r="I14" s="572">
        <v>6.7960000000000003</v>
      </c>
      <c r="J14" s="327">
        <f t="shared" si="27"/>
        <v>2.5040000000000004</v>
      </c>
      <c r="K14" s="343">
        <f t="shared" si="28"/>
        <v>2.75</v>
      </c>
      <c r="L14" s="570">
        <v>25</v>
      </c>
      <c r="M14" s="570">
        <v>750</v>
      </c>
      <c r="N14" s="345">
        <f t="shared" si="29"/>
        <v>298</v>
      </c>
      <c r="O14" s="345">
        <v>109</v>
      </c>
      <c r="P14" s="346">
        <f t="shared" si="30"/>
        <v>189</v>
      </c>
      <c r="Q14" s="332" t="str">
        <f t="shared" si="0"/>
        <v/>
      </c>
      <c r="R14" s="332" t="str">
        <f t="shared" si="1"/>
        <v/>
      </c>
      <c r="S14" s="333" t="str">
        <f t="shared" si="2"/>
        <v/>
      </c>
      <c r="T14" s="333" t="str">
        <f t="shared" si="3"/>
        <v/>
      </c>
      <c r="U14" s="333" t="str">
        <f t="shared" si="4"/>
        <v/>
      </c>
      <c r="V14" s="333" t="str">
        <f t="shared" si="5"/>
        <v/>
      </c>
      <c r="W14" s="333" t="str">
        <f t="shared" si="6"/>
        <v/>
      </c>
      <c r="X14" s="333" t="str">
        <f t="shared" si="7"/>
        <v/>
      </c>
      <c r="Y14" s="333">
        <f t="shared" si="8"/>
        <v>4725</v>
      </c>
      <c r="Z14" s="333" t="str">
        <f t="shared" si="9"/>
        <v/>
      </c>
      <c r="AA14" s="333" t="str">
        <f t="shared" si="10"/>
        <v/>
      </c>
      <c r="AB14" s="333" t="str">
        <f t="shared" si="11"/>
        <v/>
      </c>
      <c r="AC14" s="334" t="str">
        <f t="shared" si="12"/>
        <v/>
      </c>
      <c r="AD14" s="335"/>
      <c r="AE14" s="336">
        <f t="shared" si="31"/>
        <v>11.0390625</v>
      </c>
      <c r="AF14" s="337">
        <f t="shared" si="32"/>
        <v>69</v>
      </c>
      <c r="AG14" s="338">
        <f t="shared" si="33"/>
        <v>26.156250000000004</v>
      </c>
      <c r="AH14" s="339">
        <v>145</v>
      </c>
      <c r="AI14" s="340">
        <v>189</v>
      </c>
      <c r="AJ14" s="340">
        <v>195</v>
      </c>
      <c r="AK14" s="340">
        <v>212</v>
      </c>
      <c r="AL14" s="340">
        <v>226</v>
      </c>
      <c r="AM14" s="340">
        <v>234</v>
      </c>
      <c r="AN14" s="340">
        <v>250</v>
      </c>
      <c r="AO14" s="340">
        <v>268</v>
      </c>
      <c r="AP14" s="340">
        <v>298</v>
      </c>
      <c r="AQ14" s="340">
        <v>378</v>
      </c>
      <c r="AR14" s="340">
        <v>428</v>
      </c>
      <c r="AS14" s="340">
        <v>538</v>
      </c>
      <c r="AT14" s="341">
        <v>598</v>
      </c>
      <c r="AU14" s="339">
        <f t="shared" si="34"/>
        <v>0</v>
      </c>
      <c r="AV14" s="340">
        <f t="shared" si="35"/>
        <v>0</v>
      </c>
      <c r="AW14" s="340">
        <f t="shared" si="36"/>
        <v>0</v>
      </c>
      <c r="AX14" s="340">
        <f t="shared" si="37"/>
        <v>0</v>
      </c>
      <c r="AY14" s="340">
        <f t="shared" si="38"/>
        <v>0</v>
      </c>
      <c r="AZ14" s="340">
        <f t="shared" si="39"/>
        <v>0</v>
      </c>
      <c r="BA14" s="340">
        <f t="shared" si="40"/>
        <v>0</v>
      </c>
      <c r="BB14" s="340">
        <f t="shared" si="41"/>
        <v>0</v>
      </c>
      <c r="BC14" s="340">
        <f t="shared" si="42"/>
        <v>298</v>
      </c>
      <c r="BD14" s="340">
        <f t="shared" si="43"/>
        <v>0</v>
      </c>
      <c r="BE14" s="340">
        <f t="shared" si="44"/>
        <v>0</v>
      </c>
      <c r="BF14" s="340">
        <f t="shared" si="45"/>
        <v>0</v>
      </c>
      <c r="BG14" s="340">
        <f t="shared" si="46"/>
        <v>0</v>
      </c>
      <c r="BH14" s="339" t="str">
        <f t="shared" si="13"/>
        <v/>
      </c>
      <c r="BI14" s="340" t="str">
        <f t="shared" si="14"/>
        <v/>
      </c>
      <c r="BJ14" s="340" t="str">
        <f t="shared" si="15"/>
        <v/>
      </c>
      <c r="BK14" s="340" t="str">
        <f t="shared" si="16"/>
        <v/>
      </c>
      <c r="BL14" s="340" t="str">
        <f t="shared" si="17"/>
        <v/>
      </c>
      <c r="BM14" s="340" t="str">
        <f t="shared" si="18"/>
        <v/>
      </c>
      <c r="BN14" s="340" t="str">
        <f t="shared" si="19"/>
        <v/>
      </c>
      <c r="BO14" s="340" t="str">
        <f t="shared" si="20"/>
        <v/>
      </c>
      <c r="BP14" s="340">
        <f t="shared" si="21"/>
        <v>25</v>
      </c>
      <c r="BQ14" s="340" t="str">
        <f t="shared" si="22"/>
        <v/>
      </c>
      <c r="BR14" s="340" t="str">
        <f t="shared" si="23"/>
        <v/>
      </c>
      <c r="BS14" s="340" t="str">
        <f t="shared" si="24"/>
        <v/>
      </c>
      <c r="BT14" s="341" t="str">
        <f t="shared" si="25"/>
        <v/>
      </c>
      <c r="BU14" s="324"/>
    </row>
    <row r="15" spans="1:73" s="342" customFormat="1">
      <c r="A15" s="324"/>
      <c r="B15" s="324"/>
      <c r="C15" s="570" t="s">
        <v>84</v>
      </c>
      <c r="D15" s="572">
        <v>9.3000000000000007</v>
      </c>
      <c r="E15" s="572">
        <v>6.7960000000000003</v>
      </c>
      <c r="F15" s="327">
        <f t="shared" si="26"/>
        <v>2.5040000000000004</v>
      </c>
      <c r="G15" s="570" t="s">
        <v>517</v>
      </c>
      <c r="H15" s="572">
        <v>8.5500000000000007</v>
      </c>
      <c r="I15" s="572">
        <v>6.7510000000000003</v>
      </c>
      <c r="J15" s="327">
        <f t="shared" si="27"/>
        <v>1.7990000000000004</v>
      </c>
      <c r="K15" s="343">
        <f t="shared" si="28"/>
        <v>2.25</v>
      </c>
      <c r="L15" s="570">
        <v>18</v>
      </c>
      <c r="M15" s="570">
        <v>750</v>
      </c>
      <c r="N15" s="345">
        <f t="shared" si="29"/>
        <v>414</v>
      </c>
      <c r="O15" s="345">
        <v>109</v>
      </c>
      <c r="P15" s="346">
        <f t="shared" si="30"/>
        <v>305</v>
      </c>
      <c r="Q15" s="332" t="str">
        <f t="shared" si="0"/>
        <v/>
      </c>
      <c r="R15" s="332" t="str">
        <f t="shared" si="1"/>
        <v/>
      </c>
      <c r="S15" s="333" t="str">
        <f t="shared" si="2"/>
        <v/>
      </c>
      <c r="T15" s="333" t="str">
        <f t="shared" si="3"/>
        <v/>
      </c>
      <c r="U15" s="333" t="str">
        <f t="shared" si="4"/>
        <v/>
      </c>
      <c r="V15" s="333" t="str">
        <f t="shared" si="5"/>
        <v/>
      </c>
      <c r="W15" s="333" t="str">
        <f t="shared" si="6"/>
        <v/>
      </c>
      <c r="X15" s="333" t="str">
        <f t="shared" si="7"/>
        <v/>
      </c>
      <c r="Y15" s="333">
        <f t="shared" si="8"/>
        <v>5490</v>
      </c>
      <c r="Z15" s="333" t="str">
        <f t="shared" si="9"/>
        <v/>
      </c>
      <c r="AA15" s="333" t="str">
        <f t="shared" si="10"/>
        <v/>
      </c>
      <c r="AB15" s="333" t="str">
        <f t="shared" si="11"/>
        <v/>
      </c>
      <c r="AC15" s="334" t="str">
        <f t="shared" si="12"/>
        <v/>
      </c>
      <c r="AD15" s="335"/>
      <c r="AE15" s="336">
        <f t="shared" si="31"/>
        <v>7.9481250000000001</v>
      </c>
      <c r="AF15" s="337">
        <f t="shared" si="32"/>
        <v>38.880000000000003</v>
      </c>
      <c r="AG15" s="338">
        <f t="shared" si="33"/>
        <v>18.832500000000003</v>
      </c>
      <c r="AH15" s="339">
        <v>240</v>
      </c>
      <c r="AI15" s="340">
        <v>296</v>
      </c>
      <c r="AJ15" s="340">
        <v>311</v>
      </c>
      <c r="AK15" s="340">
        <v>336</v>
      </c>
      <c r="AL15" s="340">
        <v>341</v>
      </c>
      <c r="AM15" s="340">
        <v>337</v>
      </c>
      <c r="AN15" s="340">
        <v>352</v>
      </c>
      <c r="AO15" s="340">
        <v>370</v>
      </c>
      <c r="AP15" s="340">
        <v>414</v>
      </c>
      <c r="AQ15" s="340">
        <v>494</v>
      </c>
      <c r="AR15" s="340">
        <v>544</v>
      </c>
      <c r="AS15" s="340">
        <v>643</v>
      </c>
      <c r="AT15" s="341">
        <v>703</v>
      </c>
      <c r="AU15" s="339">
        <f t="shared" si="34"/>
        <v>0</v>
      </c>
      <c r="AV15" s="340">
        <f t="shared" si="35"/>
        <v>0</v>
      </c>
      <c r="AW15" s="340">
        <f t="shared" si="36"/>
        <v>0</v>
      </c>
      <c r="AX15" s="340">
        <f t="shared" si="37"/>
        <v>0</v>
      </c>
      <c r="AY15" s="340">
        <f t="shared" si="38"/>
        <v>0</v>
      </c>
      <c r="AZ15" s="340">
        <f t="shared" si="39"/>
        <v>0</v>
      </c>
      <c r="BA15" s="340">
        <f t="shared" si="40"/>
        <v>0</v>
      </c>
      <c r="BB15" s="340">
        <f t="shared" si="41"/>
        <v>0</v>
      </c>
      <c r="BC15" s="340">
        <f t="shared" si="42"/>
        <v>414</v>
      </c>
      <c r="BD15" s="340">
        <f t="shared" si="43"/>
        <v>0</v>
      </c>
      <c r="BE15" s="340">
        <f t="shared" si="44"/>
        <v>0</v>
      </c>
      <c r="BF15" s="340">
        <f t="shared" si="45"/>
        <v>0</v>
      </c>
      <c r="BG15" s="340">
        <f t="shared" si="46"/>
        <v>0</v>
      </c>
      <c r="BH15" s="339" t="str">
        <f t="shared" si="13"/>
        <v/>
      </c>
      <c r="BI15" s="340" t="str">
        <f t="shared" si="14"/>
        <v/>
      </c>
      <c r="BJ15" s="340" t="str">
        <f t="shared" si="15"/>
        <v/>
      </c>
      <c r="BK15" s="340" t="str">
        <f t="shared" si="16"/>
        <v/>
      </c>
      <c r="BL15" s="340" t="str">
        <f t="shared" si="17"/>
        <v/>
      </c>
      <c r="BM15" s="340" t="str">
        <f t="shared" si="18"/>
        <v/>
      </c>
      <c r="BN15" s="340" t="str">
        <f t="shared" si="19"/>
        <v/>
      </c>
      <c r="BO15" s="340" t="str">
        <f t="shared" si="20"/>
        <v/>
      </c>
      <c r="BP15" s="340">
        <f t="shared" si="21"/>
        <v>18</v>
      </c>
      <c r="BQ15" s="340" t="str">
        <f t="shared" si="22"/>
        <v/>
      </c>
      <c r="BR15" s="340" t="str">
        <f t="shared" si="23"/>
        <v/>
      </c>
      <c r="BS15" s="340" t="str">
        <f t="shared" si="24"/>
        <v/>
      </c>
      <c r="BT15" s="341" t="str">
        <f t="shared" si="25"/>
        <v/>
      </c>
      <c r="BU15" s="324"/>
    </row>
    <row r="16" spans="1:73" s="342" customFormat="1">
      <c r="A16" s="324"/>
      <c r="B16" s="324"/>
      <c r="C16" s="570"/>
      <c r="D16" s="572"/>
      <c r="E16" s="572"/>
      <c r="F16" s="327">
        <f t="shared" si="26"/>
        <v>0</v>
      </c>
      <c r="G16" s="570"/>
      <c r="H16" s="572"/>
      <c r="I16" s="572"/>
      <c r="J16" s="327">
        <f t="shared" si="27"/>
        <v>0</v>
      </c>
      <c r="K16" s="343">
        <f t="shared" si="28"/>
        <v>0</v>
      </c>
      <c r="L16" s="570"/>
      <c r="M16" s="570"/>
      <c r="N16" s="345">
        <f t="shared" si="29"/>
        <v>0</v>
      </c>
      <c r="O16" s="345">
        <v>109</v>
      </c>
      <c r="P16" s="346">
        <f t="shared" si="30"/>
        <v>0</v>
      </c>
      <c r="Q16" s="332" t="str">
        <f t="shared" si="0"/>
        <v/>
      </c>
      <c r="R16" s="332" t="str">
        <f t="shared" si="1"/>
        <v/>
      </c>
      <c r="S16" s="333" t="str">
        <f t="shared" si="2"/>
        <v/>
      </c>
      <c r="T16" s="333" t="str">
        <f t="shared" si="3"/>
        <v/>
      </c>
      <c r="U16" s="333" t="str">
        <f t="shared" si="4"/>
        <v/>
      </c>
      <c r="V16" s="333" t="str">
        <f t="shared" si="5"/>
        <v/>
      </c>
      <c r="W16" s="333" t="str">
        <f t="shared" si="6"/>
        <v/>
      </c>
      <c r="X16" s="333" t="str">
        <f t="shared" si="7"/>
        <v/>
      </c>
      <c r="Y16" s="333" t="str">
        <f t="shared" si="8"/>
        <v/>
      </c>
      <c r="Z16" s="333" t="str">
        <f t="shared" si="9"/>
        <v/>
      </c>
      <c r="AA16" s="333" t="str">
        <f t="shared" si="10"/>
        <v/>
      </c>
      <c r="AB16" s="333" t="str">
        <f t="shared" si="11"/>
        <v/>
      </c>
      <c r="AC16" s="334">
        <v>25088</v>
      </c>
      <c r="AD16" s="335"/>
      <c r="AE16" s="336">
        <f t="shared" si="31"/>
        <v>0</v>
      </c>
      <c r="AF16" s="337">
        <f t="shared" si="32"/>
        <v>0</v>
      </c>
      <c r="AG16" s="338">
        <f t="shared" si="33"/>
        <v>0</v>
      </c>
      <c r="AH16" s="339">
        <v>281</v>
      </c>
      <c r="AI16" s="340">
        <v>356</v>
      </c>
      <c r="AJ16" s="340">
        <v>0</v>
      </c>
      <c r="AK16" s="340">
        <v>0</v>
      </c>
      <c r="AL16" s="340">
        <v>414</v>
      </c>
      <c r="AM16" s="340">
        <v>417</v>
      </c>
      <c r="AN16" s="340">
        <v>420</v>
      </c>
      <c r="AO16" s="340">
        <v>438</v>
      </c>
      <c r="AP16" s="340">
        <v>482</v>
      </c>
      <c r="AQ16" s="340">
        <v>562</v>
      </c>
      <c r="AR16" s="340">
        <v>612</v>
      </c>
      <c r="AS16" s="340">
        <v>721</v>
      </c>
      <c r="AT16" s="341">
        <v>781</v>
      </c>
      <c r="AU16" s="339">
        <f t="shared" si="34"/>
        <v>0</v>
      </c>
      <c r="AV16" s="340">
        <f t="shared" si="35"/>
        <v>0</v>
      </c>
      <c r="AW16" s="340">
        <f t="shared" si="36"/>
        <v>0</v>
      </c>
      <c r="AX16" s="340">
        <f t="shared" si="37"/>
        <v>0</v>
      </c>
      <c r="AY16" s="340">
        <f t="shared" si="38"/>
        <v>0</v>
      </c>
      <c r="AZ16" s="340">
        <f t="shared" si="39"/>
        <v>0</v>
      </c>
      <c r="BA16" s="340">
        <f t="shared" si="40"/>
        <v>0</v>
      </c>
      <c r="BB16" s="340">
        <f t="shared" si="41"/>
        <v>0</v>
      </c>
      <c r="BC16" s="340">
        <f t="shared" si="42"/>
        <v>0</v>
      </c>
      <c r="BD16" s="340">
        <f t="shared" si="43"/>
        <v>0</v>
      </c>
      <c r="BE16" s="340">
        <f t="shared" si="44"/>
        <v>0</v>
      </c>
      <c r="BF16" s="340">
        <f t="shared" si="45"/>
        <v>0</v>
      </c>
      <c r="BG16" s="340">
        <f t="shared" si="46"/>
        <v>0</v>
      </c>
      <c r="BH16" s="339" t="str">
        <f t="shared" si="13"/>
        <v/>
      </c>
      <c r="BI16" s="340" t="str">
        <f t="shared" si="14"/>
        <v/>
      </c>
      <c r="BJ16" s="340" t="str">
        <f t="shared" si="15"/>
        <v/>
      </c>
      <c r="BK16" s="340" t="str">
        <f t="shared" si="16"/>
        <v/>
      </c>
      <c r="BL16" s="340" t="str">
        <f t="shared" si="17"/>
        <v/>
      </c>
      <c r="BM16" s="340" t="str">
        <f t="shared" si="18"/>
        <v/>
      </c>
      <c r="BN16" s="340" t="str">
        <f t="shared" si="19"/>
        <v/>
      </c>
      <c r="BO16" s="340" t="str">
        <f t="shared" si="20"/>
        <v/>
      </c>
      <c r="BP16" s="340" t="str">
        <f t="shared" si="21"/>
        <v/>
      </c>
      <c r="BQ16" s="340" t="str">
        <f t="shared" si="22"/>
        <v/>
      </c>
      <c r="BR16" s="340" t="str">
        <f t="shared" si="23"/>
        <v/>
      </c>
      <c r="BS16" s="340" t="str">
        <f t="shared" si="24"/>
        <v/>
      </c>
      <c r="BT16" s="341" t="str">
        <f t="shared" si="25"/>
        <v/>
      </c>
      <c r="BU16" s="324"/>
    </row>
    <row r="17" spans="1:73" s="342" customFormat="1">
      <c r="A17" s="324"/>
      <c r="B17" s="324"/>
      <c r="C17" s="570" t="s">
        <v>92</v>
      </c>
      <c r="D17" s="572">
        <v>10</v>
      </c>
      <c r="E17" s="572">
        <v>8.6</v>
      </c>
      <c r="F17" s="327">
        <f t="shared" si="26"/>
        <v>1.4000000000000004</v>
      </c>
      <c r="G17" s="570" t="s">
        <v>91</v>
      </c>
      <c r="H17" s="572">
        <v>10.1</v>
      </c>
      <c r="I17" s="572">
        <v>8.17</v>
      </c>
      <c r="J17" s="327">
        <f t="shared" si="27"/>
        <v>1.9299999999999997</v>
      </c>
      <c r="K17" s="343">
        <f t="shared" si="28"/>
        <v>1.75</v>
      </c>
      <c r="L17" s="570">
        <v>48</v>
      </c>
      <c r="M17" s="570">
        <v>225</v>
      </c>
      <c r="N17" s="345">
        <f t="shared" si="29"/>
        <v>240</v>
      </c>
      <c r="O17" s="345">
        <v>109</v>
      </c>
      <c r="P17" s="346">
        <f t="shared" si="30"/>
        <v>131</v>
      </c>
      <c r="Q17" s="332" t="str">
        <f t="shared" si="0"/>
        <v/>
      </c>
      <c r="R17" s="332">
        <f t="shared" si="1"/>
        <v>6288</v>
      </c>
      <c r="S17" s="333" t="str">
        <f t="shared" si="2"/>
        <v/>
      </c>
      <c r="T17" s="333" t="str">
        <f t="shared" si="3"/>
        <v/>
      </c>
      <c r="U17" s="333" t="str">
        <f t="shared" si="4"/>
        <v/>
      </c>
      <c r="V17" s="333" t="str">
        <f t="shared" si="5"/>
        <v/>
      </c>
      <c r="W17" s="333" t="str">
        <f t="shared" si="6"/>
        <v/>
      </c>
      <c r="X17" s="333" t="str">
        <f t="shared" si="7"/>
        <v/>
      </c>
      <c r="Y17" s="333" t="str">
        <f t="shared" si="8"/>
        <v/>
      </c>
      <c r="Z17" s="333" t="str">
        <f t="shared" si="9"/>
        <v/>
      </c>
      <c r="AA17" s="333" t="str">
        <f t="shared" si="10"/>
        <v/>
      </c>
      <c r="AB17" s="333" t="str">
        <f t="shared" si="11"/>
        <v/>
      </c>
      <c r="AC17" s="334">
        <v>15027</v>
      </c>
      <c r="AD17" s="335"/>
      <c r="AE17" s="336">
        <f t="shared" si="31"/>
        <v>1.9075500000000001</v>
      </c>
      <c r="AF17" s="337">
        <f t="shared" si="32"/>
        <v>42.120000000000005</v>
      </c>
      <c r="AG17" s="338">
        <f t="shared" si="33"/>
        <v>50.220000000000006</v>
      </c>
      <c r="AH17" s="339">
        <v>204</v>
      </c>
      <c r="AI17" s="340">
        <v>240</v>
      </c>
      <c r="AJ17" s="340">
        <v>271</v>
      </c>
      <c r="AK17" s="340">
        <v>285</v>
      </c>
      <c r="AL17" s="340">
        <v>289</v>
      </c>
      <c r="AM17" s="340">
        <v>291</v>
      </c>
      <c r="AN17" s="340">
        <v>318</v>
      </c>
      <c r="AO17" s="340">
        <v>336</v>
      </c>
      <c r="AP17" s="340">
        <v>380</v>
      </c>
      <c r="AQ17" s="340">
        <v>460</v>
      </c>
      <c r="AR17" s="340">
        <v>510</v>
      </c>
      <c r="AS17" s="340">
        <v>609</v>
      </c>
      <c r="AT17" s="341">
        <v>669</v>
      </c>
      <c r="AU17" s="339">
        <f t="shared" si="34"/>
        <v>0</v>
      </c>
      <c r="AV17" s="340">
        <f t="shared" si="35"/>
        <v>240</v>
      </c>
      <c r="AW17" s="340">
        <f t="shared" si="36"/>
        <v>0</v>
      </c>
      <c r="AX17" s="340">
        <f t="shared" si="37"/>
        <v>0</v>
      </c>
      <c r="AY17" s="340">
        <f t="shared" si="38"/>
        <v>0</v>
      </c>
      <c r="AZ17" s="340">
        <f t="shared" si="39"/>
        <v>0</v>
      </c>
      <c r="BA17" s="340">
        <f t="shared" si="40"/>
        <v>0</v>
      </c>
      <c r="BB17" s="340">
        <f t="shared" si="41"/>
        <v>0</v>
      </c>
      <c r="BC17" s="340">
        <f t="shared" si="42"/>
        <v>0</v>
      </c>
      <c r="BD17" s="340">
        <f t="shared" si="43"/>
        <v>0</v>
      </c>
      <c r="BE17" s="340">
        <f t="shared" si="44"/>
        <v>0</v>
      </c>
      <c r="BF17" s="340">
        <f t="shared" si="45"/>
        <v>0</v>
      </c>
      <c r="BG17" s="340">
        <f t="shared" si="46"/>
        <v>0</v>
      </c>
      <c r="BH17" s="339" t="str">
        <f t="shared" si="13"/>
        <v/>
      </c>
      <c r="BI17" s="340">
        <f t="shared" si="14"/>
        <v>48</v>
      </c>
      <c r="BJ17" s="340" t="str">
        <f t="shared" si="15"/>
        <v/>
      </c>
      <c r="BK17" s="340" t="str">
        <f t="shared" si="16"/>
        <v/>
      </c>
      <c r="BL17" s="340" t="str">
        <f t="shared" si="17"/>
        <v/>
      </c>
      <c r="BM17" s="340" t="str">
        <f t="shared" si="18"/>
        <v/>
      </c>
      <c r="BN17" s="340" t="str">
        <f t="shared" si="19"/>
        <v/>
      </c>
      <c r="BO17" s="340" t="str">
        <f t="shared" si="20"/>
        <v/>
      </c>
      <c r="BP17" s="340" t="str">
        <f t="shared" si="21"/>
        <v/>
      </c>
      <c r="BQ17" s="340" t="str">
        <f t="shared" si="22"/>
        <v/>
      </c>
      <c r="BR17" s="340" t="str">
        <f t="shared" si="23"/>
        <v/>
      </c>
      <c r="BS17" s="340" t="str">
        <f t="shared" si="24"/>
        <v/>
      </c>
      <c r="BT17" s="341" t="str">
        <f t="shared" si="25"/>
        <v/>
      </c>
      <c r="BU17" s="324"/>
    </row>
    <row r="18" spans="1:73" s="342" customFormat="1">
      <c r="A18" s="324"/>
      <c r="B18" s="324"/>
      <c r="C18" s="570" t="s">
        <v>91</v>
      </c>
      <c r="D18" s="572">
        <v>10.1</v>
      </c>
      <c r="E18" s="572">
        <v>8.17</v>
      </c>
      <c r="F18" s="327">
        <f t="shared" si="26"/>
        <v>1.9299999999999997</v>
      </c>
      <c r="G18" s="570" t="s">
        <v>90</v>
      </c>
      <c r="H18" s="572">
        <v>9.6999999999999993</v>
      </c>
      <c r="I18" s="572">
        <v>7.8849999999999998</v>
      </c>
      <c r="J18" s="327">
        <f t="shared" si="27"/>
        <v>1.8149999999999995</v>
      </c>
      <c r="K18" s="343">
        <f t="shared" si="28"/>
        <v>2</v>
      </c>
      <c r="L18" s="570">
        <v>23</v>
      </c>
      <c r="M18" s="570">
        <v>375</v>
      </c>
      <c r="N18" s="345">
        <f t="shared" si="29"/>
        <v>225</v>
      </c>
      <c r="O18" s="345">
        <v>109</v>
      </c>
      <c r="P18" s="346">
        <f t="shared" si="30"/>
        <v>116</v>
      </c>
      <c r="Q18" s="332" t="str">
        <f t="shared" si="0"/>
        <v/>
      </c>
      <c r="R18" s="332" t="str">
        <f t="shared" si="1"/>
        <v/>
      </c>
      <c r="S18" s="333" t="str">
        <f t="shared" si="2"/>
        <v/>
      </c>
      <c r="T18" s="333">
        <f t="shared" si="3"/>
        <v>2668</v>
      </c>
      <c r="U18" s="333" t="str">
        <f t="shared" si="4"/>
        <v/>
      </c>
      <c r="V18" s="333" t="str">
        <f t="shared" si="5"/>
        <v/>
      </c>
      <c r="W18" s="333" t="str">
        <f t="shared" si="6"/>
        <v/>
      </c>
      <c r="X18" s="333" t="str">
        <f t="shared" si="7"/>
        <v/>
      </c>
      <c r="Y18" s="333" t="str">
        <f t="shared" si="8"/>
        <v/>
      </c>
      <c r="Z18" s="333" t="str">
        <f t="shared" si="9"/>
        <v/>
      </c>
      <c r="AA18" s="333" t="str">
        <f t="shared" si="10"/>
        <v/>
      </c>
      <c r="AB18" s="333" t="str">
        <f t="shared" si="11"/>
        <v/>
      </c>
      <c r="AC18" s="334" t="str">
        <f t="shared" ref="AC18:AC32" si="47">IF($M18=$AC$7,$L18*$P18,"")</f>
        <v/>
      </c>
      <c r="AD18" s="335"/>
      <c r="AE18" s="336">
        <f t="shared" si="31"/>
        <v>2.5389843750000001</v>
      </c>
      <c r="AF18" s="337">
        <f t="shared" si="32"/>
        <v>29.411250000000003</v>
      </c>
      <c r="AG18" s="338">
        <f t="shared" si="33"/>
        <v>24.063750000000002</v>
      </c>
      <c r="AH18" s="339">
        <v>165</v>
      </c>
      <c r="AI18" s="340">
        <v>195</v>
      </c>
      <c r="AJ18" s="340">
        <v>219</v>
      </c>
      <c r="AK18" s="340">
        <v>225</v>
      </c>
      <c r="AL18" s="340">
        <v>247</v>
      </c>
      <c r="AM18" s="340">
        <v>242</v>
      </c>
      <c r="AN18" s="340">
        <v>267</v>
      </c>
      <c r="AO18" s="340">
        <v>285</v>
      </c>
      <c r="AP18" s="340">
        <v>317</v>
      </c>
      <c r="AQ18" s="340">
        <v>397</v>
      </c>
      <c r="AR18" s="340">
        <v>447</v>
      </c>
      <c r="AS18" s="340">
        <v>560</v>
      </c>
      <c r="AT18" s="341">
        <v>620</v>
      </c>
      <c r="AU18" s="339">
        <f t="shared" si="34"/>
        <v>0</v>
      </c>
      <c r="AV18" s="340">
        <f t="shared" si="35"/>
        <v>0</v>
      </c>
      <c r="AW18" s="340">
        <f t="shared" si="36"/>
        <v>0</v>
      </c>
      <c r="AX18" s="340">
        <f t="shared" si="37"/>
        <v>225</v>
      </c>
      <c r="AY18" s="340">
        <f t="shared" si="38"/>
        <v>0</v>
      </c>
      <c r="AZ18" s="340">
        <f t="shared" si="39"/>
        <v>0</v>
      </c>
      <c r="BA18" s="340">
        <f t="shared" si="40"/>
        <v>0</v>
      </c>
      <c r="BB18" s="340">
        <f t="shared" si="41"/>
        <v>0</v>
      </c>
      <c r="BC18" s="340">
        <f t="shared" si="42"/>
        <v>0</v>
      </c>
      <c r="BD18" s="340">
        <f t="shared" si="43"/>
        <v>0</v>
      </c>
      <c r="BE18" s="340">
        <f t="shared" si="44"/>
        <v>0</v>
      </c>
      <c r="BF18" s="340">
        <f t="shared" si="45"/>
        <v>0</v>
      </c>
      <c r="BG18" s="340">
        <f t="shared" si="46"/>
        <v>0</v>
      </c>
      <c r="BH18" s="339" t="str">
        <f t="shared" si="13"/>
        <v/>
      </c>
      <c r="BI18" s="340" t="str">
        <f t="shared" si="14"/>
        <v/>
      </c>
      <c r="BJ18" s="340" t="str">
        <f t="shared" si="15"/>
        <v/>
      </c>
      <c r="BK18" s="340">
        <f t="shared" si="16"/>
        <v>23</v>
      </c>
      <c r="BL18" s="340" t="str">
        <f t="shared" si="17"/>
        <v/>
      </c>
      <c r="BM18" s="340" t="str">
        <f t="shared" si="18"/>
        <v/>
      </c>
      <c r="BN18" s="340" t="str">
        <f t="shared" si="19"/>
        <v/>
      </c>
      <c r="BO18" s="340" t="str">
        <f t="shared" si="20"/>
        <v/>
      </c>
      <c r="BP18" s="340" t="str">
        <f t="shared" si="21"/>
        <v/>
      </c>
      <c r="BQ18" s="340" t="str">
        <f t="shared" si="22"/>
        <v/>
      </c>
      <c r="BR18" s="340" t="str">
        <f t="shared" si="23"/>
        <v/>
      </c>
      <c r="BS18" s="340" t="str">
        <f t="shared" si="24"/>
        <v/>
      </c>
      <c r="BT18" s="341" t="str">
        <f t="shared" si="25"/>
        <v/>
      </c>
      <c r="BU18" s="324"/>
    </row>
    <row r="19" spans="1:73" s="342" customFormat="1">
      <c r="A19" s="324"/>
      <c r="B19" s="324"/>
      <c r="C19" s="570"/>
      <c r="D19" s="572"/>
      <c r="E19" s="572"/>
      <c r="F19" s="327">
        <f t="shared" si="26"/>
        <v>0</v>
      </c>
      <c r="G19" s="570"/>
      <c r="H19" s="572"/>
      <c r="I19" s="572"/>
      <c r="J19" s="327">
        <f t="shared" si="27"/>
        <v>0</v>
      </c>
      <c r="K19" s="343">
        <f t="shared" si="28"/>
        <v>0</v>
      </c>
      <c r="L19" s="570"/>
      <c r="M19" s="570"/>
      <c r="N19" s="345">
        <f t="shared" si="29"/>
        <v>0</v>
      </c>
      <c r="O19" s="345">
        <v>109</v>
      </c>
      <c r="P19" s="346">
        <f t="shared" si="30"/>
        <v>0</v>
      </c>
      <c r="Q19" s="332" t="str">
        <f t="shared" si="0"/>
        <v/>
      </c>
      <c r="R19" s="332" t="str">
        <f t="shared" si="1"/>
        <v/>
      </c>
      <c r="S19" s="333" t="str">
        <f t="shared" si="2"/>
        <v/>
      </c>
      <c r="T19" s="333" t="str">
        <f t="shared" si="3"/>
        <v/>
      </c>
      <c r="U19" s="333" t="str">
        <f t="shared" si="4"/>
        <v/>
      </c>
      <c r="V19" s="333" t="str">
        <f t="shared" si="5"/>
        <v/>
      </c>
      <c r="W19" s="333" t="str">
        <f t="shared" si="6"/>
        <v/>
      </c>
      <c r="X19" s="333" t="str">
        <f t="shared" si="7"/>
        <v/>
      </c>
      <c r="Y19" s="333" t="str">
        <f t="shared" si="8"/>
        <v/>
      </c>
      <c r="Z19" s="333" t="str">
        <f t="shared" si="9"/>
        <v/>
      </c>
      <c r="AA19" s="333" t="str">
        <f t="shared" si="10"/>
        <v/>
      </c>
      <c r="AB19" s="333" t="str">
        <f t="shared" si="11"/>
        <v/>
      </c>
      <c r="AC19" s="334" t="str">
        <f t="shared" si="47"/>
        <v/>
      </c>
      <c r="AD19" s="335"/>
      <c r="AE19" s="336">
        <f t="shared" si="31"/>
        <v>0</v>
      </c>
      <c r="AF19" s="337">
        <f t="shared" si="32"/>
        <v>0</v>
      </c>
      <c r="AG19" s="338">
        <f t="shared" si="33"/>
        <v>0</v>
      </c>
      <c r="AH19" s="339">
        <v>165</v>
      </c>
      <c r="AI19" s="340">
        <v>195</v>
      </c>
      <c r="AJ19" s="340">
        <v>219</v>
      </c>
      <c r="AK19" s="340">
        <v>225</v>
      </c>
      <c r="AL19" s="340">
        <v>247</v>
      </c>
      <c r="AM19" s="340">
        <v>242</v>
      </c>
      <c r="AN19" s="340">
        <v>267</v>
      </c>
      <c r="AO19" s="340">
        <v>285</v>
      </c>
      <c r="AP19" s="340">
        <v>317</v>
      </c>
      <c r="AQ19" s="340">
        <v>397</v>
      </c>
      <c r="AR19" s="340">
        <v>447</v>
      </c>
      <c r="AS19" s="340">
        <v>560</v>
      </c>
      <c r="AT19" s="341">
        <v>620</v>
      </c>
      <c r="AU19" s="339">
        <f t="shared" si="34"/>
        <v>0</v>
      </c>
      <c r="AV19" s="340">
        <f t="shared" si="35"/>
        <v>0</v>
      </c>
      <c r="AW19" s="340">
        <f t="shared" si="36"/>
        <v>0</v>
      </c>
      <c r="AX19" s="340">
        <f t="shared" si="37"/>
        <v>0</v>
      </c>
      <c r="AY19" s="340">
        <f t="shared" si="38"/>
        <v>0</v>
      </c>
      <c r="AZ19" s="340">
        <f t="shared" si="39"/>
        <v>0</v>
      </c>
      <c r="BA19" s="340">
        <f t="shared" si="40"/>
        <v>0</v>
      </c>
      <c r="BB19" s="340">
        <f t="shared" si="41"/>
        <v>0</v>
      </c>
      <c r="BC19" s="340">
        <f t="shared" si="42"/>
        <v>0</v>
      </c>
      <c r="BD19" s="340">
        <f t="shared" si="43"/>
        <v>0</v>
      </c>
      <c r="BE19" s="340">
        <f t="shared" si="44"/>
        <v>0</v>
      </c>
      <c r="BF19" s="340">
        <f t="shared" si="45"/>
        <v>0</v>
      </c>
      <c r="BG19" s="340">
        <f t="shared" si="46"/>
        <v>0</v>
      </c>
      <c r="BH19" s="339" t="str">
        <f t="shared" si="13"/>
        <v/>
      </c>
      <c r="BI19" s="340" t="str">
        <f t="shared" si="14"/>
        <v/>
      </c>
      <c r="BJ19" s="340" t="str">
        <f t="shared" si="15"/>
        <v/>
      </c>
      <c r="BK19" s="340" t="str">
        <f t="shared" si="16"/>
        <v/>
      </c>
      <c r="BL19" s="340" t="str">
        <f t="shared" si="17"/>
        <v/>
      </c>
      <c r="BM19" s="340" t="str">
        <f t="shared" si="18"/>
        <v/>
      </c>
      <c r="BN19" s="340" t="str">
        <f t="shared" si="19"/>
        <v/>
      </c>
      <c r="BO19" s="340" t="str">
        <f t="shared" si="20"/>
        <v/>
      </c>
      <c r="BP19" s="340" t="str">
        <f t="shared" si="21"/>
        <v/>
      </c>
      <c r="BQ19" s="340" t="str">
        <f t="shared" si="22"/>
        <v/>
      </c>
      <c r="BR19" s="340" t="str">
        <f t="shared" si="23"/>
        <v/>
      </c>
      <c r="BS19" s="340" t="str">
        <f t="shared" si="24"/>
        <v/>
      </c>
      <c r="BT19" s="341" t="str">
        <f t="shared" si="25"/>
        <v/>
      </c>
      <c r="BU19" s="324"/>
    </row>
    <row r="20" spans="1:73" s="342" customFormat="1">
      <c r="A20" s="324"/>
      <c r="B20" s="324"/>
      <c r="C20" s="570" t="s">
        <v>95</v>
      </c>
      <c r="D20" s="572">
        <v>9.6</v>
      </c>
      <c r="E20" s="572">
        <v>8.3450000000000006</v>
      </c>
      <c r="F20" s="327">
        <f t="shared" si="26"/>
        <v>1.254999999999999</v>
      </c>
      <c r="G20" s="570" t="s">
        <v>90</v>
      </c>
      <c r="H20" s="572">
        <v>9.6999999999999993</v>
      </c>
      <c r="I20" s="572">
        <v>7.8849999999999998</v>
      </c>
      <c r="J20" s="327">
        <f t="shared" si="27"/>
        <v>1.8149999999999995</v>
      </c>
      <c r="K20" s="343">
        <f t="shared" si="28"/>
        <v>1.75</v>
      </c>
      <c r="L20" s="570">
        <v>16</v>
      </c>
      <c r="M20" s="570">
        <v>225</v>
      </c>
      <c r="N20" s="345">
        <f t="shared" si="29"/>
        <v>141</v>
      </c>
      <c r="O20" s="345">
        <v>109</v>
      </c>
      <c r="P20" s="346">
        <f t="shared" si="30"/>
        <v>32</v>
      </c>
      <c r="Q20" s="332" t="str">
        <f t="shared" si="0"/>
        <v/>
      </c>
      <c r="R20" s="332">
        <f t="shared" si="1"/>
        <v>512</v>
      </c>
      <c r="S20" s="333" t="str">
        <f t="shared" si="2"/>
        <v/>
      </c>
      <c r="T20" s="333" t="str">
        <f t="shared" si="3"/>
        <v/>
      </c>
      <c r="U20" s="333" t="str">
        <f t="shared" si="4"/>
        <v/>
      </c>
      <c r="V20" s="333" t="str">
        <f t="shared" si="5"/>
        <v/>
      </c>
      <c r="W20" s="333" t="str">
        <f t="shared" si="6"/>
        <v/>
      </c>
      <c r="X20" s="333" t="str">
        <f t="shared" si="7"/>
        <v/>
      </c>
      <c r="Y20" s="333" t="str">
        <f t="shared" si="8"/>
        <v/>
      </c>
      <c r="Z20" s="333" t="str">
        <f t="shared" si="9"/>
        <v/>
      </c>
      <c r="AA20" s="333" t="str">
        <f t="shared" si="10"/>
        <v/>
      </c>
      <c r="AB20" s="333" t="str">
        <f t="shared" si="11"/>
        <v/>
      </c>
      <c r="AC20" s="334" t="str">
        <f t="shared" si="47"/>
        <v/>
      </c>
      <c r="AD20" s="335"/>
      <c r="AE20" s="336">
        <f t="shared" si="31"/>
        <v>0.63585000000000003</v>
      </c>
      <c r="AF20" s="337">
        <f t="shared" si="32"/>
        <v>14.040000000000001</v>
      </c>
      <c r="AG20" s="338">
        <f t="shared" si="33"/>
        <v>16.740000000000002</v>
      </c>
      <c r="AH20" s="339">
        <v>115</v>
      </c>
      <c r="AI20" s="340">
        <v>141</v>
      </c>
      <c r="AJ20" s="340">
        <v>160</v>
      </c>
      <c r="AK20" s="340">
        <v>195</v>
      </c>
      <c r="AL20" s="340">
        <v>205</v>
      </c>
      <c r="AM20" s="340">
        <v>197</v>
      </c>
      <c r="AN20" s="340">
        <v>216</v>
      </c>
      <c r="AO20" s="340">
        <v>234</v>
      </c>
      <c r="AP20" s="340">
        <v>264</v>
      </c>
      <c r="AQ20" s="340">
        <v>344</v>
      </c>
      <c r="AR20" s="340">
        <v>394</v>
      </c>
      <c r="AS20" s="340">
        <v>428</v>
      </c>
      <c r="AT20" s="341">
        <v>488</v>
      </c>
      <c r="AU20" s="339">
        <f t="shared" si="34"/>
        <v>0</v>
      </c>
      <c r="AV20" s="340">
        <f t="shared" si="35"/>
        <v>141</v>
      </c>
      <c r="AW20" s="340">
        <f t="shared" si="36"/>
        <v>0</v>
      </c>
      <c r="AX20" s="340">
        <f t="shared" si="37"/>
        <v>0</v>
      </c>
      <c r="AY20" s="340">
        <f t="shared" si="38"/>
        <v>0</v>
      </c>
      <c r="AZ20" s="340">
        <f t="shared" si="39"/>
        <v>0</v>
      </c>
      <c r="BA20" s="340">
        <f t="shared" si="40"/>
        <v>0</v>
      </c>
      <c r="BB20" s="340">
        <f t="shared" si="41"/>
        <v>0</v>
      </c>
      <c r="BC20" s="340">
        <f t="shared" si="42"/>
        <v>0</v>
      </c>
      <c r="BD20" s="340">
        <f t="shared" si="43"/>
        <v>0</v>
      </c>
      <c r="BE20" s="340">
        <f t="shared" si="44"/>
        <v>0</v>
      </c>
      <c r="BF20" s="340">
        <f t="shared" si="45"/>
        <v>0</v>
      </c>
      <c r="BG20" s="340">
        <f t="shared" si="46"/>
        <v>0</v>
      </c>
      <c r="BH20" s="339" t="str">
        <f t="shared" si="13"/>
        <v/>
      </c>
      <c r="BI20" s="340">
        <f t="shared" si="14"/>
        <v>16</v>
      </c>
      <c r="BJ20" s="340" t="str">
        <f t="shared" si="15"/>
        <v/>
      </c>
      <c r="BK20" s="340" t="str">
        <f t="shared" si="16"/>
        <v/>
      </c>
      <c r="BL20" s="340" t="str">
        <f t="shared" si="17"/>
        <v/>
      </c>
      <c r="BM20" s="340" t="str">
        <f t="shared" si="18"/>
        <v/>
      </c>
      <c r="BN20" s="340" t="str">
        <f t="shared" si="19"/>
        <v/>
      </c>
      <c r="BO20" s="340" t="str">
        <f t="shared" si="20"/>
        <v/>
      </c>
      <c r="BP20" s="340" t="str">
        <f t="shared" si="21"/>
        <v/>
      </c>
      <c r="BQ20" s="340" t="str">
        <f t="shared" si="22"/>
        <v/>
      </c>
      <c r="BR20" s="340" t="str">
        <f t="shared" si="23"/>
        <v/>
      </c>
      <c r="BS20" s="340" t="str">
        <f t="shared" si="24"/>
        <v/>
      </c>
      <c r="BT20" s="341" t="str">
        <f t="shared" si="25"/>
        <v/>
      </c>
      <c r="BU20" s="324"/>
    </row>
    <row r="21" spans="1:73" s="342" customFormat="1">
      <c r="A21" s="324"/>
      <c r="B21" s="324"/>
      <c r="C21" s="570"/>
      <c r="D21" s="572"/>
      <c r="E21" s="572"/>
      <c r="F21" s="327">
        <f t="shared" si="26"/>
        <v>0</v>
      </c>
      <c r="G21" s="570"/>
      <c r="H21" s="572"/>
      <c r="I21" s="572"/>
      <c r="J21" s="327">
        <f t="shared" si="27"/>
        <v>0</v>
      </c>
      <c r="K21" s="343">
        <f t="shared" si="28"/>
        <v>0</v>
      </c>
      <c r="L21" s="570"/>
      <c r="M21" s="570"/>
      <c r="N21" s="345">
        <f t="shared" si="29"/>
        <v>0</v>
      </c>
      <c r="O21" s="345">
        <v>0</v>
      </c>
      <c r="P21" s="346">
        <f t="shared" si="30"/>
        <v>0</v>
      </c>
      <c r="Q21" s="332" t="str">
        <f t="shared" si="0"/>
        <v/>
      </c>
      <c r="R21" s="332" t="str">
        <f t="shared" si="1"/>
        <v/>
      </c>
      <c r="S21" s="333" t="str">
        <f t="shared" si="2"/>
        <v/>
      </c>
      <c r="T21" s="333" t="str">
        <f t="shared" si="3"/>
        <v/>
      </c>
      <c r="U21" s="333" t="str">
        <f t="shared" si="4"/>
        <v/>
      </c>
      <c r="V21" s="333" t="str">
        <f t="shared" si="5"/>
        <v/>
      </c>
      <c r="W21" s="333" t="str">
        <f t="shared" si="6"/>
        <v/>
      </c>
      <c r="X21" s="333" t="str">
        <f t="shared" si="7"/>
        <v/>
      </c>
      <c r="Y21" s="333" t="str">
        <f t="shared" si="8"/>
        <v/>
      </c>
      <c r="Z21" s="333" t="str">
        <f t="shared" si="9"/>
        <v/>
      </c>
      <c r="AA21" s="333" t="str">
        <f t="shared" si="10"/>
        <v/>
      </c>
      <c r="AB21" s="333" t="str">
        <f t="shared" si="11"/>
        <v/>
      </c>
      <c r="AC21" s="334" t="str">
        <f t="shared" si="47"/>
        <v/>
      </c>
      <c r="AD21" s="335"/>
      <c r="AE21" s="336">
        <f t="shared" si="31"/>
        <v>0</v>
      </c>
      <c r="AF21" s="337">
        <f t="shared" si="32"/>
        <v>0</v>
      </c>
      <c r="AG21" s="338">
        <f t="shared" si="33"/>
        <v>0</v>
      </c>
      <c r="AH21" s="339">
        <v>0</v>
      </c>
      <c r="AI21" s="340">
        <v>0</v>
      </c>
      <c r="AJ21" s="340">
        <v>0</v>
      </c>
      <c r="AK21" s="340">
        <v>0</v>
      </c>
      <c r="AL21" s="340">
        <v>0</v>
      </c>
      <c r="AM21" s="340">
        <v>0</v>
      </c>
      <c r="AN21" s="340">
        <v>0</v>
      </c>
      <c r="AO21" s="340">
        <v>0</v>
      </c>
      <c r="AP21" s="340">
        <v>0</v>
      </c>
      <c r="AQ21" s="340">
        <v>0</v>
      </c>
      <c r="AR21" s="340">
        <v>0</v>
      </c>
      <c r="AS21" s="340">
        <v>0</v>
      </c>
      <c r="AT21" s="341">
        <v>0</v>
      </c>
      <c r="AU21" s="339">
        <f t="shared" si="34"/>
        <v>0</v>
      </c>
      <c r="AV21" s="340">
        <f t="shared" si="35"/>
        <v>0</v>
      </c>
      <c r="AW21" s="340">
        <f t="shared" si="36"/>
        <v>0</v>
      </c>
      <c r="AX21" s="340">
        <f t="shared" si="37"/>
        <v>0</v>
      </c>
      <c r="AY21" s="340">
        <f t="shared" si="38"/>
        <v>0</v>
      </c>
      <c r="AZ21" s="340">
        <f t="shared" si="39"/>
        <v>0</v>
      </c>
      <c r="BA21" s="340">
        <f t="shared" si="40"/>
        <v>0</v>
      </c>
      <c r="BB21" s="340">
        <f t="shared" si="41"/>
        <v>0</v>
      </c>
      <c r="BC21" s="340">
        <f t="shared" si="42"/>
        <v>0</v>
      </c>
      <c r="BD21" s="340">
        <f t="shared" si="43"/>
        <v>0</v>
      </c>
      <c r="BE21" s="340">
        <f t="shared" si="44"/>
        <v>0</v>
      </c>
      <c r="BF21" s="340">
        <f t="shared" si="45"/>
        <v>0</v>
      </c>
      <c r="BG21" s="340">
        <f t="shared" si="46"/>
        <v>0</v>
      </c>
      <c r="BH21" s="339" t="str">
        <f t="shared" si="13"/>
        <v/>
      </c>
      <c r="BI21" s="340" t="str">
        <f t="shared" si="14"/>
        <v/>
      </c>
      <c r="BJ21" s="340" t="str">
        <f t="shared" si="15"/>
        <v/>
      </c>
      <c r="BK21" s="340" t="str">
        <f t="shared" si="16"/>
        <v/>
      </c>
      <c r="BL21" s="340" t="str">
        <f t="shared" si="17"/>
        <v/>
      </c>
      <c r="BM21" s="340" t="str">
        <f t="shared" si="18"/>
        <v/>
      </c>
      <c r="BN21" s="340" t="str">
        <f t="shared" si="19"/>
        <v/>
      </c>
      <c r="BO21" s="340" t="str">
        <f t="shared" si="20"/>
        <v/>
      </c>
      <c r="BP21" s="340" t="str">
        <f t="shared" si="21"/>
        <v/>
      </c>
      <c r="BQ21" s="340" t="str">
        <f t="shared" si="22"/>
        <v/>
      </c>
      <c r="BR21" s="340" t="str">
        <f t="shared" si="23"/>
        <v/>
      </c>
      <c r="BS21" s="340" t="str">
        <f t="shared" si="24"/>
        <v/>
      </c>
      <c r="BT21" s="341" t="str">
        <f t="shared" si="25"/>
        <v/>
      </c>
      <c r="BU21" s="324"/>
    </row>
    <row r="22" spans="1:73" s="342" customFormat="1">
      <c r="A22" s="324"/>
      <c r="B22" s="324"/>
      <c r="C22" s="570" t="s">
        <v>94</v>
      </c>
      <c r="D22" s="572">
        <v>1.2</v>
      </c>
      <c r="E22" s="572">
        <v>8.6</v>
      </c>
      <c r="F22" s="327">
        <f t="shared" si="26"/>
        <v>-7.3999999999999995</v>
      </c>
      <c r="G22" s="570" t="s">
        <v>93</v>
      </c>
      <c r="H22" s="572">
        <v>10</v>
      </c>
      <c r="I22" s="572">
        <v>8.1910000000000007</v>
      </c>
      <c r="J22" s="327">
        <f t="shared" si="27"/>
        <v>1.8089999999999993</v>
      </c>
      <c r="K22" s="343">
        <f t="shared" si="28"/>
        <v>-2.75</v>
      </c>
      <c r="L22" s="570">
        <v>44</v>
      </c>
      <c r="M22" s="570">
        <v>225</v>
      </c>
      <c r="N22" s="345">
        <f t="shared" si="29"/>
        <v>416</v>
      </c>
      <c r="O22" s="345">
        <v>109</v>
      </c>
      <c r="P22" s="346">
        <f t="shared" si="30"/>
        <v>307</v>
      </c>
      <c r="Q22" s="332" t="str">
        <f t="shared" si="0"/>
        <v/>
      </c>
      <c r="R22" s="332">
        <f t="shared" si="1"/>
        <v>13508</v>
      </c>
      <c r="S22" s="333" t="str">
        <f t="shared" si="2"/>
        <v/>
      </c>
      <c r="T22" s="333" t="str">
        <f t="shared" si="3"/>
        <v/>
      </c>
      <c r="U22" s="333" t="str">
        <f t="shared" si="4"/>
        <v/>
      </c>
      <c r="V22" s="333" t="str">
        <f t="shared" si="5"/>
        <v/>
      </c>
      <c r="W22" s="333" t="str">
        <f t="shared" si="6"/>
        <v/>
      </c>
      <c r="X22" s="333" t="str">
        <f t="shared" si="7"/>
        <v/>
      </c>
      <c r="Y22" s="333" t="str">
        <f t="shared" si="8"/>
        <v/>
      </c>
      <c r="Z22" s="333" t="str">
        <f t="shared" si="9"/>
        <v/>
      </c>
      <c r="AA22" s="333" t="str">
        <f t="shared" si="10"/>
        <v/>
      </c>
      <c r="AB22" s="333" t="str">
        <f t="shared" si="11"/>
        <v/>
      </c>
      <c r="AC22" s="334" t="str">
        <f t="shared" si="47"/>
        <v/>
      </c>
      <c r="AD22" s="335"/>
      <c r="AE22" s="336">
        <f t="shared" si="31"/>
        <v>1.7485875000000002</v>
      </c>
      <c r="AF22" s="337">
        <f t="shared" si="32"/>
        <v>-95.04</v>
      </c>
      <c r="AG22" s="338">
        <f t="shared" si="33"/>
        <v>46.035000000000004</v>
      </c>
      <c r="AH22" s="339">
        <v>394</v>
      </c>
      <c r="AI22" s="340">
        <v>416</v>
      </c>
      <c r="AJ22" s="340">
        <v>0</v>
      </c>
      <c r="AK22" s="340">
        <v>0</v>
      </c>
      <c r="AL22" s="340">
        <v>0</v>
      </c>
      <c r="AM22" s="340">
        <v>0</v>
      </c>
      <c r="AN22" s="340">
        <v>488</v>
      </c>
      <c r="AO22" s="340">
        <v>506</v>
      </c>
      <c r="AP22" s="340">
        <v>550</v>
      </c>
      <c r="AQ22" s="340">
        <v>630</v>
      </c>
      <c r="AR22" s="340">
        <v>680</v>
      </c>
      <c r="AS22" s="340">
        <v>789</v>
      </c>
      <c r="AT22" s="341">
        <v>849</v>
      </c>
      <c r="AU22" s="339">
        <f t="shared" si="34"/>
        <v>0</v>
      </c>
      <c r="AV22" s="340">
        <f t="shared" si="35"/>
        <v>416</v>
      </c>
      <c r="AW22" s="340">
        <f t="shared" si="36"/>
        <v>0</v>
      </c>
      <c r="AX22" s="340">
        <f t="shared" si="37"/>
        <v>0</v>
      </c>
      <c r="AY22" s="340">
        <f t="shared" si="38"/>
        <v>0</v>
      </c>
      <c r="AZ22" s="340">
        <f t="shared" si="39"/>
        <v>0</v>
      </c>
      <c r="BA22" s="340">
        <f t="shared" si="40"/>
        <v>0</v>
      </c>
      <c r="BB22" s="340">
        <f t="shared" si="41"/>
        <v>0</v>
      </c>
      <c r="BC22" s="340">
        <f t="shared" si="42"/>
        <v>0</v>
      </c>
      <c r="BD22" s="340">
        <f t="shared" si="43"/>
        <v>0</v>
      </c>
      <c r="BE22" s="340">
        <f t="shared" si="44"/>
        <v>0</v>
      </c>
      <c r="BF22" s="340">
        <f t="shared" si="45"/>
        <v>0</v>
      </c>
      <c r="BG22" s="340">
        <f t="shared" si="46"/>
        <v>0</v>
      </c>
      <c r="BH22" s="339" t="str">
        <f t="shared" si="13"/>
        <v/>
      </c>
      <c r="BI22" s="340">
        <f t="shared" si="14"/>
        <v>44</v>
      </c>
      <c r="BJ22" s="340" t="str">
        <f t="shared" si="15"/>
        <v/>
      </c>
      <c r="BK22" s="340" t="str">
        <f t="shared" si="16"/>
        <v/>
      </c>
      <c r="BL22" s="340" t="str">
        <f t="shared" si="17"/>
        <v/>
      </c>
      <c r="BM22" s="340" t="str">
        <f t="shared" si="18"/>
        <v/>
      </c>
      <c r="BN22" s="340" t="str">
        <f t="shared" si="19"/>
        <v/>
      </c>
      <c r="BO22" s="340" t="str">
        <f t="shared" si="20"/>
        <v/>
      </c>
      <c r="BP22" s="340" t="str">
        <f t="shared" si="21"/>
        <v/>
      </c>
      <c r="BQ22" s="340" t="str">
        <f t="shared" si="22"/>
        <v/>
      </c>
      <c r="BR22" s="340" t="str">
        <f t="shared" si="23"/>
        <v/>
      </c>
      <c r="BS22" s="340" t="str">
        <f t="shared" si="24"/>
        <v/>
      </c>
      <c r="BT22" s="341" t="str">
        <f t="shared" si="25"/>
        <v/>
      </c>
      <c r="BU22" s="324"/>
    </row>
    <row r="23" spans="1:73" s="342" customFormat="1">
      <c r="A23" s="324"/>
      <c r="B23" s="324"/>
      <c r="C23" s="570" t="s">
        <v>93</v>
      </c>
      <c r="D23" s="572">
        <v>10</v>
      </c>
      <c r="E23" s="572">
        <v>8.1910000000000007</v>
      </c>
      <c r="F23" s="327">
        <f t="shared" si="26"/>
        <v>1.8089999999999993</v>
      </c>
      <c r="G23" s="570" t="s">
        <v>90</v>
      </c>
      <c r="H23" s="572">
        <v>9.6999999999999993</v>
      </c>
      <c r="I23" s="572">
        <v>7.8849999999999998</v>
      </c>
      <c r="J23" s="327">
        <f t="shared" si="27"/>
        <v>1.8149999999999995</v>
      </c>
      <c r="K23" s="343">
        <f t="shared" si="28"/>
        <v>2</v>
      </c>
      <c r="L23" s="570">
        <v>27</v>
      </c>
      <c r="M23" s="570">
        <v>375</v>
      </c>
      <c r="N23" s="345">
        <f t="shared" si="29"/>
        <v>0</v>
      </c>
      <c r="O23" s="345">
        <v>109</v>
      </c>
      <c r="P23" s="346">
        <f t="shared" si="30"/>
        <v>0</v>
      </c>
      <c r="Q23" s="332" t="str">
        <f t="shared" si="0"/>
        <v/>
      </c>
      <c r="R23" s="332" t="str">
        <f t="shared" si="1"/>
        <v/>
      </c>
      <c r="S23" s="333" t="str">
        <f t="shared" si="2"/>
        <v/>
      </c>
      <c r="T23" s="333">
        <f t="shared" si="3"/>
        <v>0</v>
      </c>
      <c r="U23" s="333" t="str">
        <f t="shared" si="4"/>
        <v/>
      </c>
      <c r="V23" s="333" t="str">
        <f t="shared" si="5"/>
        <v/>
      </c>
      <c r="W23" s="333" t="str">
        <f t="shared" si="6"/>
        <v/>
      </c>
      <c r="X23" s="333" t="str">
        <f t="shared" si="7"/>
        <v/>
      </c>
      <c r="Y23" s="333" t="str">
        <f t="shared" si="8"/>
        <v/>
      </c>
      <c r="Z23" s="333" t="str">
        <f t="shared" si="9"/>
        <v/>
      </c>
      <c r="AA23" s="333" t="str">
        <f t="shared" si="10"/>
        <v/>
      </c>
      <c r="AB23" s="333" t="str">
        <f t="shared" si="11"/>
        <v/>
      </c>
      <c r="AC23" s="334" t="str">
        <f t="shared" si="47"/>
        <v/>
      </c>
      <c r="AD23" s="335"/>
      <c r="AE23" s="336">
        <f t="shared" si="31"/>
        <v>2.9805468750000004</v>
      </c>
      <c r="AF23" s="337">
        <f t="shared" si="32"/>
        <v>34.526250000000005</v>
      </c>
      <c r="AG23" s="338">
        <f t="shared" si="33"/>
        <v>28.248750000000005</v>
      </c>
      <c r="AH23" s="339">
        <v>364</v>
      </c>
      <c r="AI23" s="340">
        <v>386</v>
      </c>
      <c r="AJ23" s="340">
        <v>0</v>
      </c>
      <c r="AK23" s="340">
        <v>0</v>
      </c>
      <c r="AL23" s="340">
        <v>0</v>
      </c>
      <c r="AM23" s="340">
        <v>0</v>
      </c>
      <c r="AN23" s="340">
        <v>454</v>
      </c>
      <c r="AO23" s="340">
        <v>472</v>
      </c>
      <c r="AP23" s="340">
        <v>516</v>
      </c>
      <c r="AQ23" s="340">
        <v>596</v>
      </c>
      <c r="AR23" s="340">
        <v>646</v>
      </c>
      <c r="AS23" s="340">
        <v>755</v>
      </c>
      <c r="AT23" s="341">
        <v>815</v>
      </c>
      <c r="AU23" s="339">
        <f t="shared" si="34"/>
        <v>0</v>
      </c>
      <c r="AV23" s="340">
        <f t="shared" si="35"/>
        <v>0</v>
      </c>
      <c r="AW23" s="340">
        <f t="shared" si="36"/>
        <v>0</v>
      </c>
      <c r="AX23" s="340">
        <f t="shared" si="37"/>
        <v>0</v>
      </c>
      <c r="AY23" s="340">
        <f t="shared" si="38"/>
        <v>0</v>
      </c>
      <c r="AZ23" s="340">
        <f t="shared" si="39"/>
        <v>0</v>
      </c>
      <c r="BA23" s="340">
        <f t="shared" si="40"/>
        <v>0</v>
      </c>
      <c r="BB23" s="340">
        <f t="shared" si="41"/>
        <v>0</v>
      </c>
      <c r="BC23" s="340">
        <f t="shared" si="42"/>
        <v>0</v>
      </c>
      <c r="BD23" s="340">
        <f t="shared" si="43"/>
        <v>0</v>
      </c>
      <c r="BE23" s="340">
        <f t="shared" si="44"/>
        <v>0</v>
      </c>
      <c r="BF23" s="340">
        <f t="shared" si="45"/>
        <v>0</v>
      </c>
      <c r="BG23" s="340">
        <f t="shared" si="46"/>
        <v>0</v>
      </c>
      <c r="BH23" s="339" t="str">
        <f t="shared" si="13"/>
        <v/>
      </c>
      <c r="BI23" s="340" t="str">
        <f t="shared" si="14"/>
        <v/>
      </c>
      <c r="BJ23" s="340" t="str">
        <f t="shared" si="15"/>
        <v/>
      </c>
      <c r="BK23" s="340">
        <f t="shared" si="16"/>
        <v>27</v>
      </c>
      <c r="BL23" s="340" t="str">
        <f t="shared" si="17"/>
        <v/>
      </c>
      <c r="BM23" s="340" t="str">
        <f t="shared" si="18"/>
        <v/>
      </c>
      <c r="BN23" s="340" t="str">
        <f t="shared" si="19"/>
        <v/>
      </c>
      <c r="BO23" s="340" t="str">
        <f t="shared" si="20"/>
        <v/>
      </c>
      <c r="BP23" s="340" t="str">
        <f t="shared" si="21"/>
        <v/>
      </c>
      <c r="BQ23" s="340" t="str">
        <f t="shared" si="22"/>
        <v/>
      </c>
      <c r="BR23" s="340" t="str">
        <f t="shared" si="23"/>
        <v/>
      </c>
      <c r="BS23" s="340" t="str">
        <f t="shared" si="24"/>
        <v/>
      </c>
      <c r="BT23" s="341" t="str">
        <f t="shared" si="25"/>
        <v/>
      </c>
      <c r="BU23" s="324"/>
    </row>
    <row r="24" spans="1:73" s="342" customFormat="1">
      <c r="A24" s="324"/>
      <c r="B24" s="324"/>
      <c r="C24" s="570"/>
      <c r="D24" s="572"/>
      <c r="E24" s="572"/>
      <c r="F24" s="327">
        <f t="shared" si="26"/>
        <v>0</v>
      </c>
      <c r="G24" s="570"/>
      <c r="H24" s="572"/>
      <c r="I24" s="572"/>
      <c r="J24" s="327">
        <f t="shared" si="27"/>
        <v>0</v>
      </c>
      <c r="K24" s="343">
        <f t="shared" si="28"/>
        <v>0</v>
      </c>
      <c r="L24" s="570"/>
      <c r="M24" s="570"/>
      <c r="N24" s="345">
        <f t="shared" si="29"/>
        <v>0</v>
      </c>
      <c r="O24" s="345">
        <v>109</v>
      </c>
      <c r="P24" s="346">
        <f t="shared" si="30"/>
        <v>0</v>
      </c>
      <c r="Q24" s="332" t="str">
        <f t="shared" si="0"/>
        <v/>
      </c>
      <c r="R24" s="332" t="str">
        <f t="shared" si="1"/>
        <v/>
      </c>
      <c r="S24" s="333" t="str">
        <f t="shared" si="2"/>
        <v/>
      </c>
      <c r="T24" s="333" t="str">
        <f t="shared" si="3"/>
        <v/>
      </c>
      <c r="U24" s="333" t="str">
        <f t="shared" si="4"/>
        <v/>
      </c>
      <c r="V24" s="333" t="str">
        <f t="shared" si="5"/>
        <v/>
      </c>
      <c r="W24" s="333" t="str">
        <f t="shared" si="6"/>
        <v/>
      </c>
      <c r="X24" s="333" t="str">
        <f t="shared" si="7"/>
        <v/>
      </c>
      <c r="Y24" s="333" t="str">
        <f t="shared" si="8"/>
        <v/>
      </c>
      <c r="Z24" s="333" t="str">
        <f t="shared" si="9"/>
        <v/>
      </c>
      <c r="AA24" s="333" t="str">
        <f t="shared" si="10"/>
        <v/>
      </c>
      <c r="AB24" s="333" t="str">
        <f t="shared" si="11"/>
        <v/>
      </c>
      <c r="AC24" s="334" t="str">
        <f t="shared" si="47"/>
        <v/>
      </c>
      <c r="AD24" s="335"/>
      <c r="AE24" s="336">
        <f t="shared" si="31"/>
        <v>0</v>
      </c>
      <c r="AF24" s="337">
        <f t="shared" si="32"/>
        <v>0</v>
      </c>
      <c r="AG24" s="338">
        <f t="shared" si="33"/>
        <v>0</v>
      </c>
      <c r="AH24" s="339">
        <v>269</v>
      </c>
      <c r="AI24" s="340">
        <v>341</v>
      </c>
      <c r="AJ24" s="340">
        <v>371</v>
      </c>
      <c r="AK24" s="340">
        <v>403</v>
      </c>
      <c r="AL24" s="340">
        <v>401</v>
      </c>
      <c r="AM24" s="340">
        <v>404</v>
      </c>
      <c r="AN24" s="340">
        <v>403</v>
      </c>
      <c r="AO24" s="340">
        <v>421</v>
      </c>
      <c r="AP24" s="340">
        <v>465</v>
      </c>
      <c r="AQ24" s="340">
        <v>545</v>
      </c>
      <c r="AR24" s="340">
        <v>595</v>
      </c>
      <c r="AS24" s="340">
        <v>704</v>
      </c>
      <c r="AT24" s="341">
        <v>764</v>
      </c>
      <c r="AU24" s="339">
        <f t="shared" si="34"/>
        <v>0</v>
      </c>
      <c r="AV24" s="340">
        <f t="shared" si="35"/>
        <v>0</v>
      </c>
      <c r="AW24" s="340">
        <f t="shared" si="36"/>
        <v>0</v>
      </c>
      <c r="AX24" s="340">
        <f t="shared" si="37"/>
        <v>0</v>
      </c>
      <c r="AY24" s="340">
        <f t="shared" si="38"/>
        <v>0</v>
      </c>
      <c r="AZ24" s="340">
        <f t="shared" si="39"/>
        <v>0</v>
      </c>
      <c r="BA24" s="340">
        <f t="shared" si="40"/>
        <v>0</v>
      </c>
      <c r="BB24" s="340">
        <f t="shared" si="41"/>
        <v>0</v>
      </c>
      <c r="BC24" s="340">
        <f t="shared" si="42"/>
        <v>0</v>
      </c>
      <c r="BD24" s="340">
        <f t="shared" si="43"/>
        <v>0</v>
      </c>
      <c r="BE24" s="340">
        <f t="shared" si="44"/>
        <v>0</v>
      </c>
      <c r="BF24" s="340">
        <f t="shared" si="45"/>
        <v>0</v>
      </c>
      <c r="BG24" s="340">
        <f t="shared" si="46"/>
        <v>0</v>
      </c>
      <c r="BH24" s="339" t="str">
        <f t="shared" si="13"/>
        <v/>
      </c>
      <c r="BI24" s="340" t="str">
        <f t="shared" si="14"/>
        <v/>
      </c>
      <c r="BJ24" s="340" t="str">
        <f t="shared" si="15"/>
        <v/>
      </c>
      <c r="BK24" s="340" t="str">
        <f t="shared" si="16"/>
        <v/>
      </c>
      <c r="BL24" s="340" t="str">
        <f t="shared" si="17"/>
        <v/>
      </c>
      <c r="BM24" s="340" t="str">
        <f t="shared" si="18"/>
        <v/>
      </c>
      <c r="BN24" s="340" t="str">
        <f t="shared" si="19"/>
        <v/>
      </c>
      <c r="BO24" s="340" t="str">
        <f t="shared" si="20"/>
        <v/>
      </c>
      <c r="BP24" s="340" t="str">
        <f t="shared" si="21"/>
        <v/>
      </c>
      <c r="BQ24" s="340" t="str">
        <f t="shared" si="22"/>
        <v/>
      </c>
      <c r="BR24" s="340" t="str">
        <f t="shared" si="23"/>
        <v/>
      </c>
      <c r="BS24" s="340" t="str">
        <f t="shared" si="24"/>
        <v/>
      </c>
      <c r="BT24" s="341" t="str">
        <f t="shared" si="25"/>
        <v/>
      </c>
      <c r="BU24" s="324"/>
    </row>
    <row r="25" spans="1:73" s="342" customFormat="1">
      <c r="A25" s="324"/>
      <c r="B25" s="324"/>
      <c r="C25" s="570" t="s">
        <v>90</v>
      </c>
      <c r="D25" s="572">
        <v>9.6999999999999993</v>
      </c>
      <c r="E25" s="572">
        <v>7.8849999999999998</v>
      </c>
      <c r="F25" s="327">
        <f t="shared" si="26"/>
        <v>1.8149999999999995</v>
      </c>
      <c r="G25" s="570" t="s">
        <v>89</v>
      </c>
      <c r="H25" s="572">
        <v>9.5</v>
      </c>
      <c r="I25" s="572">
        <v>7.2549999999999999</v>
      </c>
      <c r="J25" s="327">
        <f t="shared" si="27"/>
        <v>2.2450000000000001</v>
      </c>
      <c r="K25" s="343">
        <f t="shared" si="28"/>
        <v>2.25</v>
      </c>
      <c r="L25" s="570">
        <v>63</v>
      </c>
      <c r="M25" s="570">
        <v>525</v>
      </c>
      <c r="N25" s="345">
        <f t="shared" si="29"/>
        <v>305</v>
      </c>
      <c r="O25" s="345">
        <v>109</v>
      </c>
      <c r="P25" s="346">
        <f t="shared" si="30"/>
        <v>196</v>
      </c>
      <c r="Q25" s="332" t="str">
        <f t="shared" si="0"/>
        <v/>
      </c>
      <c r="R25" s="332" t="str">
        <f t="shared" si="1"/>
        <v/>
      </c>
      <c r="S25" s="333" t="str">
        <f t="shared" si="2"/>
        <v/>
      </c>
      <c r="T25" s="333" t="str">
        <f t="shared" si="3"/>
        <v/>
      </c>
      <c r="U25" s="333" t="str">
        <f t="shared" si="4"/>
        <v/>
      </c>
      <c r="V25" s="333">
        <f t="shared" si="5"/>
        <v>12348</v>
      </c>
      <c r="W25" s="333" t="str">
        <f t="shared" si="6"/>
        <v/>
      </c>
      <c r="X25" s="333" t="str">
        <f t="shared" si="7"/>
        <v/>
      </c>
      <c r="Y25" s="333" t="str">
        <f t="shared" si="8"/>
        <v/>
      </c>
      <c r="Z25" s="333" t="str">
        <f t="shared" si="9"/>
        <v/>
      </c>
      <c r="AA25" s="333" t="str">
        <f t="shared" si="10"/>
        <v/>
      </c>
      <c r="AB25" s="333" t="str">
        <f t="shared" si="11"/>
        <v/>
      </c>
      <c r="AC25" s="334" t="str">
        <f t="shared" si="47"/>
        <v/>
      </c>
      <c r="AD25" s="335"/>
      <c r="AE25" s="336">
        <f t="shared" si="31"/>
        <v>13.631034375</v>
      </c>
      <c r="AF25" s="337">
        <f t="shared" si="32"/>
        <v>110.56500000000001</v>
      </c>
      <c r="AG25" s="338">
        <f t="shared" si="33"/>
        <v>65.913750000000007</v>
      </c>
      <c r="AH25" s="339">
        <v>234</v>
      </c>
      <c r="AI25" s="340">
        <v>270</v>
      </c>
      <c r="AJ25" s="340">
        <v>291</v>
      </c>
      <c r="AK25" s="340">
        <v>316</v>
      </c>
      <c r="AL25" s="340">
        <v>321</v>
      </c>
      <c r="AM25" s="340">
        <v>305</v>
      </c>
      <c r="AN25" s="340">
        <v>335</v>
      </c>
      <c r="AO25" s="340">
        <v>353</v>
      </c>
      <c r="AP25" s="340">
        <v>399</v>
      </c>
      <c r="AQ25" s="340">
        <v>479</v>
      </c>
      <c r="AR25" s="340">
        <v>529</v>
      </c>
      <c r="AS25" s="340">
        <v>626</v>
      </c>
      <c r="AT25" s="341">
        <v>686</v>
      </c>
      <c r="AU25" s="339">
        <f t="shared" si="34"/>
        <v>0</v>
      </c>
      <c r="AV25" s="340">
        <f t="shared" si="35"/>
        <v>0</v>
      </c>
      <c r="AW25" s="340">
        <f t="shared" si="36"/>
        <v>0</v>
      </c>
      <c r="AX25" s="340">
        <f t="shared" si="37"/>
        <v>0</v>
      </c>
      <c r="AY25" s="340">
        <f t="shared" si="38"/>
        <v>0</v>
      </c>
      <c r="AZ25" s="340">
        <f t="shared" si="39"/>
        <v>305</v>
      </c>
      <c r="BA25" s="340">
        <f t="shared" si="40"/>
        <v>0</v>
      </c>
      <c r="BB25" s="340">
        <f t="shared" si="41"/>
        <v>0</v>
      </c>
      <c r="BC25" s="340">
        <f t="shared" si="42"/>
        <v>0</v>
      </c>
      <c r="BD25" s="340">
        <f t="shared" si="43"/>
        <v>0</v>
      </c>
      <c r="BE25" s="340">
        <f t="shared" si="44"/>
        <v>0</v>
      </c>
      <c r="BF25" s="340">
        <f t="shared" si="45"/>
        <v>0</v>
      </c>
      <c r="BG25" s="340">
        <f t="shared" si="46"/>
        <v>0</v>
      </c>
      <c r="BH25" s="339" t="str">
        <f t="shared" si="13"/>
        <v/>
      </c>
      <c r="BI25" s="340" t="str">
        <f t="shared" si="14"/>
        <v/>
      </c>
      <c r="BJ25" s="340" t="str">
        <f t="shared" si="15"/>
        <v/>
      </c>
      <c r="BK25" s="340" t="str">
        <f t="shared" si="16"/>
        <v/>
      </c>
      <c r="BL25" s="340" t="str">
        <f t="shared" si="17"/>
        <v/>
      </c>
      <c r="BM25" s="340">
        <f t="shared" si="18"/>
        <v>63</v>
      </c>
      <c r="BN25" s="340" t="str">
        <f t="shared" si="19"/>
        <v/>
      </c>
      <c r="BO25" s="340" t="str">
        <f t="shared" si="20"/>
        <v/>
      </c>
      <c r="BP25" s="340" t="str">
        <f t="shared" si="21"/>
        <v/>
      </c>
      <c r="BQ25" s="340" t="str">
        <f t="shared" si="22"/>
        <v/>
      </c>
      <c r="BR25" s="340" t="str">
        <f t="shared" si="23"/>
        <v/>
      </c>
      <c r="BS25" s="340" t="str">
        <f t="shared" si="24"/>
        <v/>
      </c>
      <c r="BT25" s="341" t="str">
        <f t="shared" si="25"/>
        <v/>
      </c>
      <c r="BU25" s="324"/>
    </row>
    <row r="26" spans="1:73" s="342" customFormat="1">
      <c r="A26" s="324"/>
      <c r="B26" s="324"/>
      <c r="C26" s="570"/>
      <c r="D26" s="572"/>
      <c r="E26" s="572"/>
      <c r="F26" s="327">
        <f t="shared" si="26"/>
        <v>0</v>
      </c>
      <c r="G26" s="570"/>
      <c r="H26" s="572"/>
      <c r="I26" s="572"/>
      <c r="J26" s="327">
        <f t="shared" si="27"/>
        <v>0</v>
      </c>
      <c r="K26" s="343">
        <f t="shared" si="28"/>
        <v>0</v>
      </c>
      <c r="L26" s="570"/>
      <c r="M26" s="570"/>
      <c r="N26" s="345">
        <f t="shared" si="29"/>
        <v>0</v>
      </c>
      <c r="O26" s="345">
        <v>109</v>
      </c>
      <c r="P26" s="346">
        <f t="shared" si="30"/>
        <v>0</v>
      </c>
      <c r="Q26" s="332" t="str">
        <f t="shared" si="0"/>
        <v/>
      </c>
      <c r="R26" s="332" t="str">
        <f t="shared" si="1"/>
        <v/>
      </c>
      <c r="S26" s="333" t="str">
        <f t="shared" si="2"/>
        <v/>
      </c>
      <c r="T26" s="333" t="str">
        <f t="shared" si="3"/>
        <v/>
      </c>
      <c r="U26" s="333" t="str">
        <f t="shared" si="4"/>
        <v/>
      </c>
      <c r="V26" s="333" t="str">
        <f t="shared" si="5"/>
        <v/>
      </c>
      <c r="W26" s="333" t="str">
        <f t="shared" si="6"/>
        <v/>
      </c>
      <c r="X26" s="333" t="str">
        <f t="shared" si="7"/>
        <v/>
      </c>
      <c r="Y26" s="333" t="str">
        <f t="shared" si="8"/>
        <v/>
      </c>
      <c r="Z26" s="333" t="str">
        <f t="shared" si="9"/>
        <v/>
      </c>
      <c r="AA26" s="333" t="str">
        <f t="shared" si="10"/>
        <v/>
      </c>
      <c r="AB26" s="333" t="str">
        <f t="shared" si="11"/>
        <v/>
      </c>
      <c r="AC26" s="334" t="str">
        <f t="shared" si="47"/>
        <v/>
      </c>
      <c r="AD26" s="335"/>
      <c r="AE26" s="336">
        <f t="shared" si="31"/>
        <v>0</v>
      </c>
      <c r="AF26" s="337">
        <f t="shared" si="32"/>
        <v>0</v>
      </c>
      <c r="AG26" s="338">
        <f t="shared" si="33"/>
        <v>0</v>
      </c>
      <c r="AH26" s="339">
        <v>165</v>
      </c>
      <c r="AI26" s="340">
        <v>195</v>
      </c>
      <c r="AJ26" s="340">
        <v>219</v>
      </c>
      <c r="AK26" s="340">
        <v>225</v>
      </c>
      <c r="AL26" s="340">
        <v>247</v>
      </c>
      <c r="AM26" s="340">
        <v>242</v>
      </c>
      <c r="AN26" s="340">
        <v>267</v>
      </c>
      <c r="AO26" s="340">
        <v>285</v>
      </c>
      <c r="AP26" s="340">
        <v>317</v>
      </c>
      <c r="AQ26" s="340">
        <v>397</v>
      </c>
      <c r="AR26" s="340">
        <v>447</v>
      </c>
      <c r="AS26" s="340">
        <v>560</v>
      </c>
      <c r="AT26" s="341">
        <v>620</v>
      </c>
      <c r="AU26" s="339">
        <f t="shared" si="34"/>
        <v>0</v>
      </c>
      <c r="AV26" s="340">
        <f t="shared" si="35"/>
        <v>0</v>
      </c>
      <c r="AW26" s="340">
        <f t="shared" si="36"/>
        <v>0</v>
      </c>
      <c r="AX26" s="340">
        <f t="shared" si="37"/>
        <v>0</v>
      </c>
      <c r="AY26" s="340">
        <f t="shared" si="38"/>
        <v>0</v>
      </c>
      <c r="AZ26" s="340">
        <f t="shared" si="39"/>
        <v>0</v>
      </c>
      <c r="BA26" s="340">
        <f t="shared" si="40"/>
        <v>0</v>
      </c>
      <c r="BB26" s="340">
        <f t="shared" si="41"/>
        <v>0</v>
      </c>
      <c r="BC26" s="340">
        <f t="shared" si="42"/>
        <v>0</v>
      </c>
      <c r="BD26" s="340">
        <f t="shared" si="43"/>
        <v>0</v>
      </c>
      <c r="BE26" s="340">
        <f t="shared" si="44"/>
        <v>0</v>
      </c>
      <c r="BF26" s="340">
        <f t="shared" si="45"/>
        <v>0</v>
      </c>
      <c r="BG26" s="340">
        <f t="shared" si="46"/>
        <v>0</v>
      </c>
      <c r="BH26" s="339" t="str">
        <f t="shared" si="13"/>
        <v/>
      </c>
      <c r="BI26" s="340" t="str">
        <f t="shared" si="14"/>
        <v/>
      </c>
      <c r="BJ26" s="340" t="str">
        <f t="shared" si="15"/>
        <v/>
      </c>
      <c r="BK26" s="340" t="str">
        <f t="shared" si="16"/>
        <v/>
      </c>
      <c r="BL26" s="340" t="str">
        <f t="shared" si="17"/>
        <v/>
      </c>
      <c r="BM26" s="340" t="str">
        <f t="shared" si="18"/>
        <v/>
      </c>
      <c r="BN26" s="340" t="str">
        <f t="shared" si="19"/>
        <v/>
      </c>
      <c r="BO26" s="340" t="str">
        <f t="shared" si="20"/>
        <v/>
      </c>
      <c r="BP26" s="340" t="str">
        <f t="shared" si="21"/>
        <v/>
      </c>
      <c r="BQ26" s="340" t="str">
        <f t="shared" si="22"/>
        <v/>
      </c>
      <c r="BR26" s="340" t="str">
        <f t="shared" si="23"/>
        <v/>
      </c>
      <c r="BS26" s="340" t="str">
        <f t="shared" si="24"/>
        <v/>
      </c>
      <c r="BT26" s="341" t="str">
        <f t="shared" si="25"/>
        <v/>
      </c>
      <c r="BU26" s="324"/>
    </row>
    <row r="27" spans="1:73" s="342" customFormat="1">
      <c r="A27" s="324"/>
      <c r="B27" s="324"/>
      <c r="C27" s="570" t="s">
        <v>218</v>
      </c>
      <c r="D27" s="572">
        <v>9.4</v>
      </c>
      <c r="E27" s="572">
        <v>8.0139999999999993</v>
      </c>
      <c r="F27" s="327">
        <f t="shared" si="26"/>
        <v>1.386000000000001</v>
      </c>
      <c r="G27" s="570" t="s">
        <v>204</v>
      </c>
      <c r="H27" s="572">
        <v>9.5</v>
      </c>
      <c r="I27" s="572">
        <v>7.6980000000000004</v>
      </c>
      <c r="J27" s="327">
        <f t="shared" si="27"/>
        <v>1.8019999999999996</v>
      </c>
      <c r="K27" s="343">
        <f t="shared" si="28"/>
        <v>1.75</v>
      </c>
      <c r="L27" s="570">
        <v>54</v>
      </c>
      <c r="M27" s="570">
        <v>300</v>
      </c>
      <c r="N27" s="345">
        <f t="shared" si="29"/>
        <v>371</v>
      </c>
      <c r="O27" s="345">
        <v>109</v>
      </c>
      <c r="P27" s="346">
        <f t="shared" si="30"/>
        <v>262</v>
      </c>
      <c r="Q27" s="332" t="str">
        <f t="shared" si="0"/>
        <v/>
      </c>
      <c r="R27" s="332" t="str">
        <f t="shared" si="1"/>
        <v/>
      </c>
      <c r="S27" s="333">
        <f t="shared" si="2"/>
        <v>14148</v>
      </c>
      <c r="T27" s="333" t="str">
        <f t="shared" si="3"/>
        <v/>
      </c>
      <c r="U27" s="333" t="str">
        <f t="shared" si="4"/>
        <v/>
      </c>
      <c r="V27" s="333" t="str">
        <f t="shared" si="5"/>
        <v/>
      </c>
      <c r="W27" s="333" t="str">
        <f t="shared" si="6"/>
        <v/>
      </c>
      <c r="X27" s="333" t="str">
        <f t="shared" si="7"/>
        <v/>
      </c>
      <c r="Y27" s="333" t="str">
        <f t="shared" si="8"/>
        <v/>
      </c>
      <c r="Z27" s="333" t="str">
        <f t="shared" si="9"/>
        <v/>
      </c>
      <c r="AA27" s="333" t="str">
        <f t="shared" si="10"/>
        <v/>
      </c>
      <c r="AB27" s="333" t="str">
        <f t="shared" si="11"/>
        <v/>
      </c>
      <c r="AC27" s="334" t="str">
        <f t="shared" si="47"/>
        <v/>
      </c>
      <c r="AD27" s="335"/>
      <c r="AE27" s="336">
        <f t="shared" si="31"/>
        <v>3.8151000000000002</v>
      </c>
      <c r="AF27" s="337">
        <f t="shared" si="32"/>
        <v>52.650000000000006</v>
      </c>
      <c r="AG27" s="338">
        <f t="shared" si="33"/>
        <v>56.497500000000009</v>
      </c>
      <c r="AH27" s="339">
        <v>269</v>
      </c>
      <c r="AI27" s="340">
        <v>341</v>
      </c>
      <c r="AJ27" s="340">
        <v>371</v>
      </c>
      <c r="AK27" s="340">
        <v>403</v>
      </c>
      <c r="AL27" s="340">
        <v>401</v>
      </c>
      <c r="AM27" s="340">
        <v>404</v>
      </c>
      <c r="AN27" s="340">
        <v>403</v>
      </c>
      <c r="AO27" s="340">
        <v>421</v>
      </c>
      <c r="AP27" s="340">
        <v>465</v>
      </c>
      <c r="AQ27" s="340">
        <v>545</v>
      </c>
      <c r="AR27" s="340">
        <v>595</v>
      </c>
      <c r="AS27" s="340">
        <v>704</v>
      </c>
      <c r="AT27" s="341">
        <v>764</v>
      </c>
      <c r="AU27" s="339">
        <f t="shared" si="34"/>
        <v>0</v>
      </c>
      <c r="AV27" s="340">
        <f t="shared" si="35"/>
        <v>0</v>
      </c>
      <c r="AW27" s="340">
        <f t="shared" si="36"/>
        <v>371</v>
      </c>
      <c r="AX27" s="340">
        <f t="shared" si="37"/>
        <v>0</v>
      </c>
      <c r="AY27" s="340">
        <f t="shared" si="38"/>
        <v>0</v>
      </c>
      <c r="AZ27" s="340">
        <f t="shared" si="39"/>
        <v>0</v>
      </c>
      <c r="BA27" s="340">
        <f t="shared" si="40"/>
        <v>0</v>
      </c>
      <c r="BB27" s="340">
        <f t="shared" si="41"/>
        <v>0</v>
      </c>
      <c r="BC27" s="340">
        <f t="shared" si="42"/>
        <v>0</v>
      </c>
      <c r="BD27" s="340">
        <f t="shared" si="43"/>
        <v>0</v>
      </c>
      <c r="BE27" s="340">
        <f t="shared" si="44"/>
        <v>0</v>
      </c>
      <c r="BF27" s="340">
        <f t="shared" si="45"/>
        <v>0</v>
      </c>
      <c r="BG27" s="340">
        <f t="shared" si="46"/>
        <v>0</v>
      </c>
      <c r="BH27" s="339" t="str">
        <f t="shared" si="13"/>
        <v/>
      </c>
      <c r="BI27" s="340" t="str">
        <f t="shared" si="14"/>
        <v/>
      </c>
      <c r="BJ27" s="340">
        <f t="shared" si="15"/>
        <v>54</v>
      </c>
      <c r="BK27" s="340" t="str">
        <f t="shared" si="16"/>
        <v/>
      </c>
      <c r="BL27" s="340" t="str">
        <f t="shared" si="17"/>
        <v/>
      </c>
      <c r="BM27" s="340" t="str">
        <f t="shared" si="18"/>
        <v/>
      </c>
      <c r="BN27" s="340" t="str">
        <f t="shared" si="19"/>
        <v/>
      </c>
      <c r="BO27" s="340" t="str">
        <f t="shared" si="20"/>
        <v/>
      </c>
      <c r="BP27" s="340" t="str">
        <f t="shared" si="21"/>
        <v/>
      </c>
      <c r="BQ27" s="340" t="str">
        <f t="shared" si="22"/>
        <v/>
      </c>
      <c r="BR27" s="340" t="str">
        <f t="shared" si="23"/>
        <v/>
      </c>
      <c r="BS27" s="340" t="str">
        <f t="shared" si="24"/>
        <v/>
      </c>
      <c r="BT27" s="341" t="str">
        <f t="shared" si="25"/>
        <v/>
      </c>
      <c r="BU27" s="324"/>
    </row>
    <row r="28" spans="1:73" s="342" customFormat="1">
      <c r="A28" s="324"/>
      <c r="B28" s="324"/>
      <c r="C28" s="570" t="s">
        <v>204</v>
      </c>
      <c r="D28" s="572">
        <v>9.5</v>
      </c>
      <c r="E28" s="572">
        <v>7.6980000000000004</v>
      </c>
      <c r="F28" s="327">
        <f t="shared" si="26"/>
        <v>1.8019999999999996</v>
      </c>
      <c r="G28" s="570" t="s">
        <v>98</v>
      </c>
      <c r="H28" s="572">
        <v>9.5</v>
      </c>
      <c r="I28" s="572">
        <v>7.6349999999999998</v>
      </c>
      <c r="J28" s="327">
        <f t="shared" si="27"/>
        <v>1.8650000000000002</v>
      </c>
      <c r="K28" s="343">
        <f t="shared" si="28"/>
        <v>2</v>
      </c>
      <c r="L28" s="570">
        <v>16</v>
      </c>
      <c r="M28" s="570">
        <v>300</v>
      </c>
      <c r="N28" s="345">
        <f t="shared" si="29"/>
        <v>0</v>
      </c>
      <c r="O28" s="345">
        <v>109</v>
      </c>
      <c r="P28" s="346">
        <f t="shared" si="30"/>
        <v>0</v>
      </c>
      <c r="Q28" s="332" t="str">
        <f t="shared" si="0"/>
        <v/>
      </c>
      <c r="R28" s="332" t="str">
        <f t="shared" si="1"/>
        <v/>
      </c>
      <c r="S28" s="333">
        <f t="shared" si="2"/>
        <v>0</v>
      </c>
      <c r="T28" s="333" t="str">
        <f t="shared" si="3"/>
        <v/>
      </c>
      <c r="U28" s="333" t="str">
        <f t="shared" si="4"/>
        <v/>
      </c>
      <c r="V28" s="333" t="str">
        <f t="shared" si="5"/>
        <v/>
      </c>
      <c r="W28" s="333" t="str">
        <f t="shared" si="6"/>
        <v/>
      </c>
      <c r="X28" s="333" t="str">
        <f t="shared" si="7"/>
        <v/>
      </c>
      <c r="Y28" s="333" t="str">
        <f t="shared" si="8"/>
        <v/>
      </c>
      <c r="Z28" s="333" t="str">
        <f t="shared" si="9"/>
        <v/>
      </c>
      <c r="AA28" s="333" t="str">
        <f t="shared" si="10"/>
        <v/>
      </c>
      <c r="AB28" s="333" t="str">
        <f t="shared" si="11"/>
        <v/>
      </c>
      <c r="AC28" s="334" t="str">
        <f t="shared" si="47"/>
        <v/>
      </c>
      <c r="AD28" s="335"/>
      <c r="AE28" s="336">
        <f t="shared" si="31"/>
        <v>1.1304000000000001</v>
      </c>
      <c r="AF28" s="337">
        <f t="shared" si="32"/>
        <v>18.600000000000001</v>
      </c>
      <c r="AG28" s="338">
        <f t="shared" si="33"/>
        <v>16.740000000000002</v>
      </c>
      <c r="AH28" s="339">
        <v>394</v>
      </c>
      <c r="AI28" s="340">
        <v>416</v>
      </c>
      <c r="AJ28" s="340">
        <v>0</v>
      </c>
      <c r="AK28" s="340">
        <v>0</v>
      </c>
      <c r="AL28" s="340">
        <v>0</v>
      </c>
      <c r="AM28" s="340">
        <v>0</v>
      </c>
      <c r="AN28" s="340">
        <v>488</v>
      </c>
      <c r="AO28" s="340">
        <v>506</v>
      </c>
      <c r="AP28" s="340">
        <v>550</v>
      </c>
      <c r="AQ28" s="340">
        <v>630</v>
      </c>
      <c r="AR28" s="340">
        <v>680</v>
      </c>
      <c r="AS28" s="340">
        <v>789</v>
      </c>
      <c r="AT28" s="341">
        <v>849</v>
      </c>
      <c r="AU28" s="339">
        <f t="shared" si="34"/>
        <v>0</v>
      </c>
      <c r="AV28" s="340">
        <f t="shared" si="35"/>
        <v>0</v>
      </c>
      <c r="AW28" s="340">
        <f t="shared" si="36"/>
        <v>0</v>
      </c>
      <c r="AX28" s="340">
        <f t="shared" si="37"/>
        <v>0</v>
      </c>
      <c r="AY28" s="340">
        <f t="shared" si="38"/>
        <v>0</v>
      </c>
      <c r="AZ28" s="340">
        <f t="shared" si="39"/>
        <v>0</v>
      </c>
      <c r="BA28" s="340">
        <f t="shared" si="40"/>
        <v>0</v>
      </c>
      <c r="BB28" s="340">
        <f t="shared" si="41"/>
        <v>0</v>
      </c>
      <c r="BC28" s="340">
        <f t="shared" si="42"/>
        <v>0</v>
      </c>
      <c r="BD28" s="340">
        <f t="shared" si="43"/>
        <v>0</v>
      </c>
      <c r="BE28" s="340">
        <f t="shared" si="44"/>
        <v>0</v>
      </c>
      <c r="BF28" s="340">
        <f t="shared" si="45"/>
        <v>0</v>
      </c>
      <c r="BG28" s="340">
        <f t="shared" si="46"/>
        <v>0</v>
      </c>
      <c r="BH28" s="339" t="str">
        <f t="shared" si="13"/>
        <v/>
      </c>
      <c r="BI28" s="340" t="str">
        <f t="shared" si="14"/>
        <v/>
      </c>
      <c r="BJ28" s="340">
        <f t="shared" si="15"/>
        <v>16</v>
      </c>
      <c r="BK28" s="340" t="str">
        <f t="shared" si="16"/>
        <v/>
      </c>
      <c r="BL28" s="340" t="str">
        <f t="shared" si="17"/>
        <v/>
      </c>
      <c r="BM28" s="340" t="str">
        <f t="shared" si="18"/>
        <v/>
      </c>
      <c r="BN28" s="340" t="str">
        <f t="shared" si="19"/>
        <v/>
      </c>
      <c r="BO28" s="340" t="str">
        <f t="shared" si="20"/>
        <v/>
      </c>
      <c r="BP28" s="340" t="str">
        <f t="shared" si="21"/>
        <v/>
      </c>
      <c r="BQ28" s="340" t="str">
        <f t="shared" si="22"/>
        <v/>
      </c>
      <c r="BR28" s="340" t="str">
        <f t="shared" si="23"/>
        <v/>
      </c>
      <c r="BS28" s="340" t="str">
        <f t="shared" si="24"/>
        <v/>
      </c>
      <c r="BT28" s="341" t="str">
        <f t="shared" si="25"/>
        <v/>
      </c>
      <c r="BU28" s="324"/>
    </row>
    <row r="29" spans="1:73" s="342" customFormat="1">
      <c r="A29" s="324"/>
      <c r="B29" s="324"/>
      <c r="C29" s="570" t="s">
        <v>98</v>
      </c>
      <c r="D29" s="572">
        <v>9.5</v>
      </c>
      <c r="E29" s="572">
        <v>7.6349999999999998</v>
      </c>
      <c r="F29" s="327">
        <f t="shared" si="26"/>
        <v>1.8650000000000002</v>
      </c>
      <c r="G29" s="570" t="s">
        <v>86</v>
      </c>
      <c r="H29" s="572">
        <v>9.5</v>
      </c>
      <c r="I29" s="572">
        <v>6.9450000000000003</v>
      </c>
      <c r="J29" s="327">
        <f t="shared" si="27"/>
        <v>2.5549999999999997</v>
      </c>
      <c r="K29" s="343">
        <f t="shared" si="28"/>
        <v>2.25</v>
      </c>
      <c r="L29" s="570">
        <v>59</v>
      </c>
      <c r="M29" s="570">
        <v>300</v>
      </c>
      <c r="N29" s="345">
        <f t="shared" si="29"/>
        <v>0</v>
      </c>
      <c r="O29" s="345">
        <v>109</v>
      </c>
      <c r="P29" s="346">
        <f t="shared" si="30"/>
        <v>0</v>
      </c>
      <c r="Q29" s="332" t="str">
        <f t="shared" si="0"/>
        <v/>
      </c>
      <c r="R29" s="332" t="str">
        <f t="shared" si="1"/>
        <v/>
      </c>
      <c r="S29" s="333">
        <f t="shared" si="2"/>
        <v>0</v>
      </c>
      <c r="T29" s="333" t="str">
        <f t="shared" si="3"/>
        <v/>
      </c>
      <c r="U29" s="333" t="str">
        <f t="shared" si="4"/>
        <v/>
      </c>
      <c r="V29" s="333" t="str">
        <f t="shared" si="5"/>
        <v/>
      </c>
      <c r="W29" s="333" t="str">
        <f t="shared" si="6"/>
        <v/>
      </c>
      <c r="X29" s="333" t="str">
        <f t="shared" si="7"/>
        <v/>
      </c>
      <c r="Y29" s="333" t="str">
        <f t="shared" si="8"/>
        <v/>
      </c>
      <c r="Z29" s="333" t="str">
        <f t="shared" si="9"/>
        <v/>
      </c>
      <c r="AA29" s="333" t="str">
        <f t="shared" si="10"/>
        <v/>
      </c>
      <c r="AB29" s="333" t="str">
        <f t="shared" si="11"/>
        <v/>
      </c>
      <c r="AC29" s="334" t="str">
        <f t="shared" si="47"/>
        <v/>
      </c>
      <c r="AD29" s="335"/>
      <c r="AE29" s="336">
        <f t="shared" si="31"/>
        <v>4.1683500000000002</v>
      </c>
      <c r="AF29" s="337">
        <f t="shared" si="32"/>
        <v>79.650000000000006</v>
      </c>
      <c r="AG29" s="338">
        <f t="shared" si="33"/>
        <v>61.728750000000005</v>
      </c>
      <c r="AH29" s="339">
        <v>379</v>
      </c>
      <c r="AI29" s="340">
        <v>401</v>
      </c>
      <c r="AJ29" s="340">
        <v>0</v>
      </c>
      <c r="AK29" s="340">
        <v>0</v>
      </c>
      <c r="AL29" s="340">
        <v>0</v>
      </c>
      <c r="AM29" s="340">
        <v>0</v>
      </c>
      <c r="AN29" s="340">
        <v>471</v>
      </c>
      <c r="AO29" s="340">
        <v>489</v>
      </c>
      <c r="AP29" s="340">
        <v>533</v>
      </c>
      <c r="AQ29" s="340">
        <v>613</v>
      </c>
      <c r="AR29" s="340">
        <v>663</v>
      </c>
      <c r="AS29" s="340">
        <v>772</v>
      </c>
      <c r="AT29" s="341">
        <v>832</v>
      </c>
      <c r="AU29" s="339">
        <f t="shared" si="34"/>
        <v>0</v>
      </c>
      <c r="AV29" s="340">
        <f t="shared" si="35"/>
        <v>0</v>
      </c>
      <c r="AW29" s="340">
        <f t="shared" si="36"/>
        <v>0</v>
      </c>
      <c r="AX29" s="340">
        <f t="shared" si="37"/>
        <v>0</v>
      </c>
      <c r="AY29" s="340">
        <f t="shared" si="38"/>
        <v>0</v>
      </c>
      <c r="AZ29" s="340">
        <f t="shared" si="39"/>
        <v>0</v>
      </c>
      <c r="BA29" s="340">
        <f t="shared" si="40"/>
        <v>0</v>
      </c>
      <c r="BB29" s="340">
        <f t="shared" si="41"/>
        <v>0</v>
      </c>
      <c r="BC29" s="340">
        <f t="shared" si="42"/>
        <v>0</v>
      </c>
      <c r="BD29" s="340">
        <f t="shared" si="43"/>
        <v>0</v>
      </c>
      <c r="BE29" s="340">
        <f t="shared" si="44"/>
        <v>0</v>
      </c>
      <c r="BF29" s="340">
        <f t="shared" si="45"/>
        <v>0</v>
      </c>
      <c r="BG29" s="340">
        <f t="shared" si="46"/>
        <v>0</v>
      </c>
      <c r="BH29" s="339" t="str">
        <f t="shared" si="13"/>
        <v/>
      </c>
      <c r="BI29" s="340" t="str">
        <f t="shared" si="14"/>
        <v/>
      </c>
      <c r="BJ29" s="340">
        <f t="shared" si="15"/>
        <v>59</v>
      </c>
      <c r="BK29" s="340" t="str">
        <f t="shared" si="16"/>
        <v/>
      </c>
      <c r="BL29" s="340" t="str">
        <f t="shared" si="17"/>
        <v/>
      </c>
      <c r="BM29" s="340" t="str">
        <f t="shared" si="18"/>
        <v/>
      </c>
      <c r="BN29" s="340" t="str">
        <f t="shared" si="19"/>
        <v/>
      </c>
      <c r="BO29" s="340" t="str">
        <f t="shared" si="20"/>
        <v/>
      </c>
      <c r="BP29" s="340" t="str">
        <f t="shared" si="21"/>
        <v/>
      </c>
      <c r="BQ29" s="340" t="str">
        <f t="shared" si="22"/>
        <v/>
      </c>
      <c r="BR29" s="340" t="str">
        <f t="shared" si="23"/>
        <v/>
      </c>
      <c r="BS29" s="340" t="str">
        <f t="shared" si="24"/>
        <v/>
      </c>
      <c r="BT29" s="341" t="str">
        <f t="shared" si="25"/>
        <v/>
      </c>
      <c r="BU29" s="324"/>
    </row>
    <row r="30" spans="1:73" s="342" customFormat="1">
      <c r="A30" s="324"/>
      <c r="B30" s="324"/>
      <c r="C30" s="570"/>
      <c r="D30" s="572"/>
      <c r="E30" s="572"/>
      <c r="F30" s="327">
        <f t="shared" si="26"/>
        <v>0</v>
      </c>
      <c r="G30" s="570"/>
      <c r="H30" s="572"/>
      <c r="I30" s="572"/>
      <c r="J30" s="327">
        <f t="shared" si="27"/>
        <v>0</v>
      </c>
      <c r="K30" s="343">
        <f t="shared" si="28"/>
        <v>0</v>
      </c>
      <c r="L30" s="570"/>
      <c r="M30" s="570"/>
      <c r="N30" s="345">
        <f t="shared" si="29"/>
        <v>0</v>
      </c>
      <c r="O30" s="345">
        <v>0</v>
      </c>
      <c r="P30" s="346">
        <f t="shared" si="30"/>
        <v>0</v>
      </c>
      <c r="Q30" s="332" t="str">
        <f t="shared" si="0"/>
        <v/>
      </c>
      <c r="R30" s="332" t="str">
        <f t="shared" si="1"/>
        <v/>
      </c>
      <c r="S30" s="333" t="str">
        <f t="shared" si="2"/>
        <v/>
      </c>
      <c r="T30" s="333" t="str">
        <f t="shared" si="3"/>
        <v/>
      </c>
      <c r="U30" s="333" t="str">
        <f t="shared" si="4"/>
        <v/>
      </c>
      <c r="V30" s="333" t="str">
        <f t="shared" si="5"/>
        <v/>
      </c>
      <c r="W30" s="333" t="str">
        <f t="shared" si="6"/>
        <v/>
      </c>
      <c r="X30" s="333" t="str">
        <f t="shared" si="7"/>
        <v/>
      </c>
      <c r="Y30" s="333" t="str">
        <f t="shared" si="8"/>
        <v/>
      </c>
      <c r="Z30" s="333" t="str">
        <f t="shared" si="9"/>
        <v/>
      </c>
      <c r="AA30" s="333" t="str">
        <f t="shared" si="10"/>
        <v/>
      </c>
      <c r="AB30" s="333" t="str">
        <f t="shared" si="11"/>
        <v/>
      </c>
      <c r="AC30" s="334" t="str">
        <f t="shared" si="47"/>
        <v/>
      </c>
      <c r="AD30" s="335"/>
      <c r="AE30" s="336">
        <f t="shared" si="31"/>
        <v>0</v>
      </c>
      <c r="AF30" s="337">
        <f t="shared" si="32"/>
        <v>0</v>
      </c>
      <c r="AG30" s="338">
        <f t="shared" si="33"/>
        <v>0</v>
      </c>
      <c r="AH30" s="339">
        <v>0</v>
      </c>
      <c r="AI30" s="340">
        <v>0</v>
      </c>
      <c r="AJ30" s="340">
        <v>0</v>
      </c>
      <c r="AK30" s="340">
        <v>0</v>
      </c>
      <c r="AL30" s="340">
        <v>0</v>
      </c>
      <c r="AM30" s="340">
        <v>0</v>
      </c>
      <c r="AN30" s="340">
        <v>0</v>
      </c>
      <c r="AO30" s="340">
        <v>0</v>
      </c>
      <c r="AP30" s="340">
        <v>0</v>
      </c>
      <c r="AQ30" s="340">
        <v>0</v>
      </c>
      <c r="AR30" s="340">
        <v>0</v>
      </c>
      <c r="AS30" s="340">
        <v>0</v>
      </c>
      <c r="AT30" s="341">
        <v>0</v>
      </c>
      <c r="AU30" s="339">
        <f t="shared" si="34"/>
        <v>0</v>
      </c>
      <c r="AV30" s="340">
        <f t="shared" si="35"/>
        <v>0</v>
      </c>
      <c r="AW30" s="340">
        <f t="shared" si="36"/>
        <v>0</v>
      </c>
      <c r="AX30" s="340">
        <f t="shared" si="37"/>
        <v>0</v>
      </c>
      <c r="AY30" s="340">
        <f t="shared" si="38"/>
        <v>0</v>
      </c>
      <c r="AZ30" s="340">
        <f t="shared" si="39"/>
        <v>0</v>
      </c>
      <c r="BA30" s="340">
        <f t="shared" si="40"/>
        <v>0</v>
      </c>
      <c r="BB30" s="340">
        <f t="shared" si="41"/>
        <v>0</v>
      </c>
      <c r="BC30" s="340">
        <f t="shared" si="42"/>
        <v>0</v>
      </c>
      <c r="BD30" s="340">
        <f t="shared" si="43"/>
        <v>0</v>
      </c>
      <c r="BE30" s="340">
        <f t="shared" si="44"/>
        <v>0</v>
      </c>
      <c r="BF30" s="340">
        <f t="shared" si="45"/>
        <v>0</v>
      </c>
      <c r="BG30" s="340">
        <f t="shared" si="46"/>
        <v>0</v>
      </c>
      <c r="BH30" s="339" t="str">
        <f t="shared" si="13"/>
        <v/>
      </c>
      <c r="BI30" s="340" t="str">
        <f t="shared" si="14"/>
        <v/>
      </c>
      <c r="BJ30" s="340" t="str">
        <f t="shared" si="15"/>
        <v/>
      </c>
      <c r="BK30" s="340" t="str">
        <f t="shared" si="16"/>
        <v/>
      </c>
      <c r="BL30" s="340" t="str">
        <f t="shared" si="17"/>
        <v/>
      </c>
      <c r="BM30" s="340" t="str">
        <f t="shared" si="18"/>
        <v/>
      </c>
      <c r="BN30" s="340" t="str">
        <f t="shared" si="19"/>
        <v/>
      </c>
      <c r="BO30" s="340" t="str">
        <f t="shared" si="20"/>
        <v/>
      </c>
      <c r="BP30" s="340" t="str">
        <f t="shared" si="21"/>
        <v/>
      </c>
      <c r="BQ30" s="340" t="str">
        <f t="shared" si="22"/>
        <v/>
      </c>
      <c r="BR30" s="340" t="str">
        <f t="shared" si="23"/>
        <v/>
      </c>
      <c r="BS30" s="340" t="str">
        <f t="shared" si="24"/>
        <v/>
      </c>
      <c r="BT30" s="341" t="str">
        <f t="shared" si="25"/>
        <v/>
      </c>
      <c r="BU30" s="324"/>
    </row>
    <row r="31" spans="1:73" s="342" customFormat="1">
      <c r="A31" s="324"/>
      <c r="B31" s="324"/>
      <c r="C31" s="570" t="s">
        <v>99</v>
      </c>
      <c r="D31" s="572">
        <v>9.1</v>
      </c>
      <c r="E31" s="572">
        <v>7.484</v>
      </c>
      <c r="F31" s="327">
        <f t="shared" si="26"/>
        <v>1.6159999999999997</v>
      </c>
      <c r="G31" s="570" t="s">
        <v>219</v>
      </c>
      <c r="H31" s="572">
        <v>9.1</v>
      </c>
      <c r="I31" s="572">
        <v>7.3449999999999998</v>
      </c>
      <c r="J31" s="327">
        <f t="shared" si="27"/>
        <v>1.7549999999999999</v>
      </c>
      <c r="K31" s="343">
        <f t="shared" si="28"/>
        <v>1.75</v>
      </c>
      <c r="L31" s="570">
        <v>11</v>
      </c>
      <c r="M31" s="570">
        <v>225</v>
      </c>
      <c r="N31" s="345">
        <f t="shared" si="29"/>
        <v>0</v>
      </c>
      <c r="O31" s="345">
        <v>0</v>
      </c>
      <c r="P31" s="346">
        <f t="shared" si="30"/>
        <v>0</v>
      </c>
      <c r="Q31" s="332" t="str">
        <f t="shared" si="0"/>
        <v/>
      </c>
      <c r="R31" s="332">
        <f t="shared" si="1"/>
        <v>0</v>
      </c>
      <c r="S31" s="333" t="str">
        <f t="shared" si="2"/>
        <v/>
      </c>
      <c r="T31" s="333" t="str">
        <f t="shared" si="3"/>
        <v/>
      </c>
      <c r="U31" s="333" t="str">
        <f t="shared" si="4"/>
        <v/>
      </c>
      <c r="V31" s="333" t="str">
        <f t="shared" si="5"/>
        <v/>
      </c>
      <c r="W31" s="333" t="str">
        <f t="shared" si="6"/>
        <v/>
      </c>
      <c r="X31" s="333" t="str">
        <f t="shared" si="7"/>
        <v/>
      </c>
      <c r="Y31" s="333" t="str">
        <f t="shared" si="8"/>
        <v/>
      </c>
      <c r="Z31" s="333" t="str">
        <f t="shared" si="9"/>
        <v/>
      </c>
      <c r="AA31" s="333" t="str">
        <f t="shared" si="10"/>
        <v/>
      </c>
      <c r="AB31" s="333" t="str">
        <f t="shared" si="11"/>
        <v/>
      </c>
      <c r="AC31" s="334" t="str">
        <f t="shared" si="47"/>
        <v/>
      </c>
      <c r="AD31" s="335"/>
      <c r="AE31" s="336">
        <f t="shared" si="31"/>
        <v>0.43714687500000005</v>
      </c>
      <c r="AF31" s="337">
        <f t="shared" si="32"/>
        <v>9.6524999999999999</v>
      </c>
      <c r="AG31" s="338">
        <f t="shared" si="33"/>
        <v>11.508750000000001</v>
      </c>
      <c r="AH31" s="339">
        <v>0</v>
      </c>
      <c r="AI31" s="340">
        <v>0</v>
      </c>
      <c r="AJ31" s="340">
        <v>0</v>
      </c>
      <c r="AK31" s="340">
        <v>0</v>
      </c>
      <c r="AL31" s="340">
        <v>0</v>
      </c>
      <c r="AM31" s="340">
        <v>0</v>
      </c>
      <c r="AN31" s="340">
        <v>0</v>
      </c>
      <c r="AO31" s="340">
        <v>0</v>
      </c>
      <c r="AP31" s="340">
        <v>0</v>
      </c>
      <c r="AQ31" s="340">
        <v>0</v>
      </c>
      <c r="AR31" s="340">
        <v>0</v>
      </c>
      <c r="AS31" s="340">
        <v>0</v>
      </c>
      <c r="AT31" s="341">
        <v>0</v>
      </c>
      <c r="AU31" s="339">
        <f t="shared" si="34"/>
        <v>0</v>
      </c>
      <c r="AV31" s="340">
        <f t="shared" si="35"/>
        <v>0</v>
      </c>
      <c r="AW31" s="340">
        <f t="shared" si="36"/>
        <v>0</v>
      </c>
      <c r="AX31" s="340">
        <f t="shared" si="37"/>
        <v>0</v>
      </c>
      <c r="AY31" s="340">
        <f t="shared" si="38"/>
        <v>0</v>
      </c>
      <c r="AZ31" s="340">
        <f t="shared" si="39"/>
        <v>0</v>
      </c>
      <c r="BA31" s="340">
        <f t="shared" si="40"/>
        <v>0</v>
      </c>
      <c r="BB31" s="340">
        <f t="shared" si="41"/>
        <v>0</v>
      </c>
      <c r="BC31" s="340">
        <f t="shared" si="42"/>
        <v>0</v>
      </c>
      <c r="BD31" s="340">
        <f t="shared" si="43"/>
        <v>0</v>
      </c>
      <c r="BE31" s="340">
        <f t="shared" si="44"/>
        <v>0</v>
      </c>
      <c r="BF31" s="340">
        <f t="shared" si="45"/>
        <v>0</v>
      </c>
      <c r="BG31" s="340">
        <f t="shared" si="46"/>
        <v>0</v>
      </c>
      <c r="BH31" s="339" t="str">
        <f t="shared" si="13"/>
        <v/>
      </c>
      <c r="BI31" s="340">
        <f t="shared" si="14"/>
        <v>11</v>
      </c>
      <c r="BJ31" s="340" t="str">
        <f t="shared" si="15"/>
        <v/>
      </c>
      <c r="BK31" s="340" t="str">
        <f t="shared" si="16"/>
        <v/>
      </c>
      <c r="BL31" s="340" t="str">
        <f t="shared" si="17"/>
        <v/>
      </c>
      <c r="BM31" s="340" t="str">
        <f t="shared" si="18"/>
        <v/>
      </c>
      <c r="BN31" s="340" t="str">
        <f t="shared" si="19"/>
        <v/>
      </c>
      <c r="BO31" s="340" t="str">
        <f t="shared" si="20"/>
        <v/>
      </c>
      <c r="BP31" s="340" t="str">
        <f t="shared" si="21"/>
        <v/>
      </c>
      <c r="BQ31" s="340" t="str">
        <f t="shared" si="22"/>
        <v/>
      </c>
      <c r="BR31" s="340" t="str">
        <f t="shared" si="23"/>
        <v/>
      </c>
      <c r="BS31" s="340" t="str">
        <f t="shared" si="24"/>
        <v/>
      </c>
      <c r="BT31" s="341" t="str">
        <f t="shared" si="25"/>
        <v/>
      </c>
      <c r="BU31" s="324"/>
    </row>
    <row r="32" spans="1:73" s="342" customFormat="1">
      <c r="A32" s="324"/>
      <c r="B32" s="324"/>
      <c r="C32" s="570" t="s">
        <v>102</v>
      </c>
      <c r="D32" s="572">
        <v>8.6</v>
      </c>
      <c r="E32" s="572">
        <v>7.4749999999999996</v>
      </c>
      <c r="F32" s="327">
        <f t="shared" si="26"/>
        <v>1.125</v>
      </c>
      <c r="G32" s="570" t="s">
        <v>219</v>
      </c>
      <c r="H32" s="572">
        <v>9.1</v>
      </c>
      <c r="I32" s="572">
        <v>7.3449999999999998</v>
      </c>
      <c r="J32" s="327">
        <f t="shared" si="27"/>
        <v>1.7549999999999999</v>
      </c>
      <c r="K32" s="343">
        <f t="shared" si="28"/>
        <v>1.5</v>
      </c>
      <c r="L32" s="570">
        <v>9</v>
      </c>
      <c r="M32" s="570">
        <v>225</v>
      </c>
      <c r="N32" s="345">
        <f t="shared" si="29"/>
        <v>0</v>
      </c>
      <c r="O32" s="345">
        <v>0</v>
      </c>
      <c r="P32" s="346">
        <f t="shared" si="30"/>
        <v>0</v>
      </c>
      <c r="Q32" s="332" t="str">
        <f t="shared" si="0"/>
        <v/>
      </c>
      <c r="R32" s="332">
        <f t="shared" si="1"/>
        <v>0</v>
      </c>
      <c r="S32" s="333" t="str">
        <f t="shared" si="2"/>
        <v/>
      </c>
      <c r="T32" s="333" t="str">
        <f t="shared" si="3"/>
        <v/>
      </c>
      <c r="U32" s="333" t="str">
        <f t="shared" si="4"/>
        <v/>
      </c>
      <c r="V32" s="333" t="str">
        <f t="shared" si="5"/>
        <v/>
      </c>
      <c r="W32" s="333" t="str">
        <f t="shared" si="6"/>
        <v/>
      </c>
      <c r="X32" s="333" t="str">
        <f t="shared" si="7"/>
        <v/>
      </c>
      <c r="Y32" s="333" t="str">
        <f t="shared" si="8"/>
        <v/>
      </c>
      <c r="Z32" s="333" t="str">
        <f t="shared" si="9"/>
        <v/>
      </c>
      <c r="AA32" s="333" t="str">
        <f t="shared" si="10"/>
        <v/>
      </c>
      <c r="AB32" s="333" t="str">
        <f t="shared" si="11"/>
        <v/>
      </c>
      <c r="AC32" s="334" t="str">
        <f t="shared" si="47"/>
        <v/>
      </c>
      <c r="AD32" s="335"/>
      <c r="AE32" s="336">
        <f t="shared" si="31"/>
        <v>0.35766562499999999</v>
      </c>
      <c r="AF32" s="337">
        <f t="shared" si="32"/>
        <v>6.378750000000001</v>
      </c>
      <c r="AG32" s="338">
        <f t="shared" si="33"/>
        <v>9.4162500000000016</v>
      </c>
      <c r="AH32" s="339">
        <v>0</v>
      </c>
      <c r="AI32" s="340">
        <v>0</v>
      </c>
      <c r="AJ32" s="340">
        <v>0</v>
      </c>
      <c r="AK32" s="340">
        <v>0</v>
      </c>
      <c r="AL32" s="340">
        <v>0</v>
      </c>
      <c r="AM32" s="340">
        <v>0</v>
      </c>
      <c r="AN32" s="340">
        <v>0</v>
      </c>
      <c r="AO32" s="340">
        <v>0</v>
      </c>
      <c r="AP32" s="340">
        <v>0</v>
      </c>
      <c r="AQ32" s="340">
        <v>0</v>
      </c>
      <c r="AR32" s="340">
        <v>0</v>
      </c>
      <c r="AS32" s="340">
        <v>0</v>
      </c>
      <c r="AT32" s="341">
        <v>0</v>
      </c>
      <c r="AU32" s="339">
        <f t="shared" si="34"/>
        <v>0</v>
      </c>
      <c r="AV32" s="340">
        <f t="shared" si="35"/>
        <v>0</v>
      </c>
      <c r="AW32" s="340">
        <f t="shared" si="36"/>
        <v>0</v>
      </c>
      <c r="AX32" s="340">
        <f t="shared" si="37"/>
        <v>0</v>
      </c>
      <c r="AY32" s="340">
        <f t="shared" si="38"/>
        <v>0</v>
      </c>
      <c r="AZ32" s="340">
        <f t="shared" si="39"/>
        <v>0</v>
      </c>
      <c r="BA32" s="340">
        <f t="shared" si="40"/>
        <v>0</v>
      </c>
      <c r="BB32" s="340">
        <f t="shared" si="41"/>
        <v>0</v>
      </c>
      <c r="BC32" s="340">
        <f t="shared" si="42"/>
        <v>0</v>
      </c>
      <c r="BD32" s="340">
        <f t="shared" si="43"/>
        <v>0</v>
      </c>
      <c r="BE32" s="340">
        <f t="shared" si="44"/>
        <v>0</v>
      </c>
      <c r="BF32" s="340">
        <f t="shared" si="45"/>
        <v>0</v>
      </c>
      <c r="BG32" s="340">
        <f t="shared" si="46"/>
        <v>0</v>
      </c>
      <c r="BH32" s="339" t="str">
        <f t="shared" si="13"/>
        <v/>
      </c>
      <c r="BI32" s="340">
        <f t="shared" si="14"/>
        <v>9</v>
      </c>
      <c r="BJ32" s="340" t="str">
        <f t="shared" si="15"/>
        <v/>
      </c>
      <c r="BK32" s="340" t="str">
        <f t="shared" si="16"/>
        <v/>
      </c>
      <c r="BL32" s="340" t="str">
        <f t="shared" si="17"/>
        <v/>
      </c>
      <c r="BM32" s="340" t="str">
        <f t="shared" si="18"/>
        <v/>
      </c>
      <c r="BN32" s="340" t="str">
        <f t="shared" si="19"/>
        <v/>
      </c>
      <c r="BO32" s="340" t="str">
        <f t="shared" si="20"/>
        <v/>
      </c>
      <c r="BP32" s="340" t="str">
        <f t="shared" si="21"/>
        <v/>
      </c>
      <c r="BQ32" s="340" t="str">
        <f t="shared" si="22"/>
        <v/>
      </c>
      <c r="BR32" s="340" t="str">
        <f t="shared" si="23"/>
        <v/>
      </c>
      <c r="BS32" s="340" t="str">
        <f t="shared" si="24"/>
        <v/>
      </c>
      <c r="BT32" s="341" t="str">
        <f t="shared" si="25"/>
        <v/>
      </c>
      <c r="BU32" s="324"/>
    </row>
    <row r="33" spans="1:73" s="342" customFormat="1">
      <c r="A33" s="324"/>
      <c r="B33" s="324"/>
      <c r="C33" s="570" t="s">
        <v>219</v>
      </c>
      <c r="D33" s="572">
        <v>9.1</v>
      </c>
      <c r="E33" s="572">
        <v>7.3449999999999998</v>
      </c>
      <c r="F33" s="327">
        <f t="shared" ref="F33:F44" si="48">D33-E33</f>
        <v>1.7549999999999999</v>
      </c>
      <c r="G33" s="570" t="s">
        <v>84</v>
      </c>
      <c r="H33" s="572">
        <v>9.3000000000000007</v>
      </c>
      <c r="I33" s="572">
        <v>6.7960000000000003</v>
      </c>
      <c r="J33" s="327">
        <f t="shared" ref="J33:J44" si="49">H33-I33</f>
        <v>2.5040000000000004</v>
      </c>
      <c r="K33" s="343">
        <f t="shared" ref="K33:K44" si="50">CEILING((F33+J33)/2,0.25)</f>
        <v>2.25</v>
      </c>
      <c r="L33" s="570">
        <v>24</v>
      </c>
      <c r="M33" s="570">
        <v>300</v>
      </c>
      <c r="N33" s="345">
        <f t="shared" ref="N33:N44" si="51">SUM(AU33:BG33)</f>
        <v>0</v>
      </c>
      <c r="O33" s="345">
        <v>109</v>
      </c>
      <c r="P33" s="346">
        <f t="shared" ref="P33:P44" si="52">IF((N33-O33)&gt;0,N33-O33,0)</f>
        <v>0</v>
      </c>
      <c r="Q33" s="332" t="str">
        <f t="shared" si="0"/>
        <v/>
      </c>
      <c r="R33" s="332" t="str">
        <f t="shared" si="1"/>
        <v/>
      </c>
      <c r="S33" s="333">
        <f t="shared" si="2"/>
        <v>0</v>
      </c>
      <c r="T33" s="333" t="str">
        <f t="shared" si="3"/>
        <v/>
      </c>
      <c r="U33" s="333" t="str">
        <f t="shared" si="4"/>
        <v/>
      </c>
      <c r="V33" s="333" t="str">
        <f t="shared" si="5"/>
        <v/>
      </c>
      <c r="W33" s="333" t="str">
        <f t="shared" si="6"/>
        <v/>
      </c>
      <c r="X33" s="333" t="str">
        <f t="shared" si="7"/>
        <v/>
      </c>
      <c r="Y33" s="333" t="str">
        <f t="shared" si="8"/>
        <v/>
      </c>
      <c r="Z33" s="333" t="str">
        <f t="shared" si="9"/>
        <v/>
      </c>
      <c r="AA33" s="333" t="str">
        <f t="shared" si="10"/>
        <v/>
      </c>
      <c r="AB33" s="333" t="str">
        <f t="shared" si="11"/>
        <v/>
      </c>
      <c r="AC33" s="334" t="str">
        <f t="shared" ref="AC33:AC39" si="53">IF($M33=$AC$7,$L33*$P33,"")</f>
        <v/>
      </c>
      <c r="AD33" s="335"/>
      <c r="AE33" s="336">
        <f t="shared" ref="AE33:AE44" si="54">L33*((M33/1000/2*M33/1000/2)*3.14)</f>
        <v>1.6956000000000002</v>
      </c>
      <c r="AF33" s="337">
        <f t="shared" ref="AF33:AF44" si="55">((M33/1000)+0.225*2)*(K33-0.45)*L33</f>
        <v>32.400000000000006</v>
      </c>
      <c r="AG33" s="338">
        <f t="shared" ref="AG33:AG44" si="56">IF(L33&gt;0,(0.675*(2-0.45)*L33),0)</f>
        <v>25.110000000000003</v>
      </c>
      <c r="AH33" s="339">
        <v>364</v>
      </c>
      <c r="AI33" s="340">
        <v>386</v>
      </c>
      <c r="AJ33" s="340">
        <v>0</v>
      </c>
      <c r="AK33" s="340">
        <v>0</v>
      </c>
      <c r="AL33" s="340">
        <v>0</v>
      </c>
      <c r="AM33" s="340">
        <v>0</v>
      </c>
      <c r="AN33" s="340">
        <v>454</v>
      </c>
      <c r="AO33" s="340">
        <v>472</v>
      </c>
      <c r="AP33" s="340">
        <v>516</v>
      </c>
      <c r="AQ33" s="340">
        <v>596</v>
      </c>
      <c r="AR33" s="340">
        <v>646</v>
      </c>
      <c r="AS33" s="340">
        <v>755</v>
      </c>
      <c r="AT33" s="341">
        <v>815</v>
      </c>
      <c r="AU33" s="339">
        <f t="shared" ref="AU33:AU44" si="57">IF($M33=$AH$7,AH33,0)</f>
        <v>0</v>
      </c>
      <c r="AV33" s="340">
        <f t="shared" ref="AV33:AV44" si="58">IF($M33=$AI$7,AI33,0)</f>
        <v>0</v>
      </c>
      <c r="AW33" s="340">
        <f t="shared" ref="AW33:AW44" si="59">IF($M33=$AJ$7,AJ33,0)</f>
        <v>0</v>
      </c>
      <c r="AX33" s="340">
        <f t="shared" ref="AX33:AX44" si="60">IF($M33=$AK$7,AK33,0)</f>
        <v>0</v>
      </c>
      <c r="AY33" s="340">
        <f t="shared" ref="AY33:AY44" si="61">IF($M33=$AL$7,AL33,0)</f>
        <v>0</v>
      </c>
      <c r="AZ33" s="340">
        <f t="shared" ref="AZ33:AZ44" si="62">IF($M33=$AM$7,AM33,0)</f>
        <v>0</v>
      </c>
      <c r="BA33" s="340">
        <f t="shared" ref="BA33:BA44" si="63">IF($M33=$AN$7,AN33,0)</f>
        <v>0</v>
      </c>
      <c r="BB33" s="340">
        <f t="shared" ref="BB33:BB44" si="64">IF($M33=$AO$7,AO33,0)</f>
        <v>0</v>
      </c>
      <c r="BC33" s="340">
        <f t="shared" ref="BC33:BC44" si="65">IF($M33=$AP$7,AP33,0)</f>
        <v>0</v>
      </c>
      <c r="BD33" s="340">
        <f t="shared" ref="BD33:BD44" si="66">IF($M33=$AQ$7,AQ33,0)</f>
        <v>0</v>
      </c>
      <c r="BE33" s="340">
        <f t="shared" ref="BE33:BE44" si="67">IF($M33=$AR$7,AR33,0)</f>
        <v>0</v>
      </c>
      <c r="BF33" s="340">
        <f t="shared" ref="BF33:BF44" si="68">IF($M33=$AS$7,AS33,0)</f>
        <v>0</v>
      </c>
      <c r="BG33" s="340">
        <f t="shared" ref="BG33:BG44" si="69">IF($M33=$AT$7,AT33,0)</f>
        <v>0</v>
      </c>
      <c r="BH33" s="339" t="str">
        <f t="shared" si="13"/>
        <v/>
      </c>
      <c r="BI33" s="340" t="str">
        <f t="shared" si="14"/>
        <v/>
      </c>
      <c r="BJ33" s="340">
        <f t="shared" si="15"/>
        <v>24</v>
      </c>
      <c r="BK33" s="340" t="str">
        <f t="shared" si="16"/>
        <v/>
      </c>
      <c r="BL33" s="340" t="str">
        <f t="shared" si="17"/>
        <v/>
      </c>
      <c r="BM33" s="340" t="str">
        <f t="shared" si="18"/>
        <v/>
      </c>
      <c r="BN33" s="340" t="str">
        <f t="shared" si="19"/>
        <v/>
      </c>
      <c r="BO33" s="340" t="str">
        <f t="shared" si="20"/>
        <v/>
      </c>
      <c r="BP33" s="340" t="str">
        <f t="shared" si="21"/>
        <v/>
      </c>
      <c r="BQ33" s="340" t="str">
        <f t="shared" si="22"/>
        <v/>
      </c>
      <c r="BR33" s="340" t="str">
        <f t="shared" si="23"/>
        <v/>
      </c>
      <c r="BS33" s="340" t="str">
        <f t="shared" si="24"/>
        <v/>
      </c>
      <c r="BT33" s="341" t="str">
        <f t="shared" si="25"/>
        <v/>
      </c>
      <c r="BU33" s="324"/>
    </row>
    <row r="34" spans="1:73" s="342" customFormat="1">
      <c r="A34" s="324"/>
      <c r="B34" s="324"/>
      <c r="C34" s="570"/>
      <c r="D34" s="572"/>
      <c r="E34" s="572"/>
      <c r="F34" s="327">
        <f t="shared" si="48"/>
        <v>0</v>
      </c>
      <c r="G34" s="570"/>
      <c r="H34" s="572"/>
      <c r="I34" s="572"/>
      <c r="J34" s="327">
        <f t="shared" si="49"/>
        <v>0</v>
      </c>
      <c r="K34" s="343">
        <f t="shared" si="50"/>
        <v>0</v>
      </c>
      <c r="L34" s="570"/>
      <c r="M34" s="570"/>
      <c r="N34" s="345">
        <f t="shared" si="51"/>
        <v>0</v>
      </c>
      <c r="O34" s="345">
        <v>109</v>
      </c>
      <c r="P34" s="346">
        <f t="shared" si="52"/>
        <v>0</v>
      </c>
      <c r="Q34" s="332" t="str">
        <f t="shared" si="0"/>
        <v/>
      </c>
      <c r="R34" s="332" t="str">
        <f t="shared" si="1"/>
        <v/>
      </c>
      <c r="S34" s="333" t="str">
        <f t="shared" si="2"/>
        <v/>
      </c>
      <c r="T34" s="333" t="str">
        <f t="shared" si="3"/>
        <v/>
      </c>
      <c r="U34" s="333" t="str">
        <f t="shared" si="4"/>
        <v/>
      </c>
      <c r="V34" s="333" t="str">
        <f t="shared" si="5"/>
        <v/>
      </c>
      <c r="W34" s="333" t="str">
        <f t="shared" si="6"/>
        <v/>
      </c>
      <c r="X34" s="333" t="str">
        <f t="shared" si="7"/>
        <v/>
      </c>
      <c r="Y34" s="333" t="str">
        <f t="shared" si="8"/>
        <v/>
      </c>
      <c r="Z34" s="333" t="str">
        <f t="shared" si="9"/>
        <v/>
      </c>
      <c r="AA34" s="333" t="str">
        <f t="shared" si="10"/>
        <v/>
      </c>
      <c r="AB34" s="333" t="str">
        <f t="shared" si="11"/>
        <v/>
      </c>
      <c r="AC34" s="334" t="str">
        <f t="shared" si="53"/>
        <v/>
      </c>
      <c r="AD34" s="335"/>
      <c r="AE34" s="336">
        <f t="shared" si="54"/>
        <v>0</v>
      </c>
      <c r="AF34" s="337">
        <f t="shared" si="55"/>
        <v>0</v>
      </c>
      <c r="AG34" s="338">
        <f t="shared" si="56"/>
        <v>0</v>
      </c>
      <c r="AH34" s="339">
        <v>292</v>
      </c>
      <c r="AI34" s="340">
        <v>371</v>
      </c>
      <c r="AJ34" s="340">
        <v>0</v>
      </c>
      <c r="AK34" s="340">
        <v>0</v>
      </c>
      <c r="AL34" s="340">
        <v>425</v>
      </c>
      <c r="AM34" s="340">
        <v>430</v>
      </c>
      <c r="AN34" s="340">
        <v>437</v>
      </c>
      <c r="AO34" s="340">
        <v>455</v>
      </c>
      <c r="AP34" s="340">
        <v>499</v>
      </c>
      <c r="AQ34" s="340">
        <v>579</v>
      </c>
      <c r="AR34" s="340">
        <v>629</v>
      </c>
      <c r="AS34" s="340">
        <v>738</v>
      </c>
      <c r="AT34" s="341">
        <v>798</v>
      </c>
      <c r="AU34" s="339">
        <f t="shared" si="57"/>
        <v>0</v>
      </c>
      <c r="AV34" s="340">
        <f t="shared" si="58"/>
        <v>0</v>
      </c>
      <c r="AW34" s="340">
        <f t="shared" si="59"/>
        <v>0</v>
      </c>
      <c r="AX34" s="340">
        <f t="shared" si="60"/>
        <v>0</v>
      </c>
      <c r="AY34" s="340">
        <f t="shared" si="61"/>
        <v>0</v>
      </c>
      <c r="AZ34" s="340">
        <f t="shared" si="62"/>
        <v>0</v>
      </c>
      <c r="BA34" s="340">
        <f t="shared" si="63"/>
        <v>0</v>
      </c>
      <c r="BB34" s="340">
        <f t="shared" si="64"/>
        <v>0</v>
      </c>
      <c r="BC34" s="340">
        <f t="shared" si="65"/>
        <v>0</v>
      </c>
      <c r="BD34" s="340">
        <f t="shared" si="66"/>
        <v>0</v>
      </c>
      <c r="BE34" s="340">
        <f t="shared" si="67"/>
        <v>0</v>
      </c>
      <c r="BF34" s="340">
        <f t="shared" si="68"/>
        <v>0</v>
      </c>
      <c r="BG34" s="340">
        <f t="shared" si="69"/>
        <v>0</v>
      </c>
      <c r="BH34" s="339" t="str">
        <f t="shared" si="13"/>
        <v/>
      </c>
      <c r="BI34" s="340" t="str">
        <f t="shared" si="14"/>
        <v/>
      </c>
      <c r="BJ34" s="340" t="str">
        <f t="shared" si="15"/>
        <v/>
      </c>
      <c r="BK34" s="340" t="str">
        <f t="shared" si="16"/>
        <v/>
      </c>
      <c r="BL34" s="340" t="str">
        <f t="shared" si="17"/>
        <v/>
      </c>
      <c r="BM34" s="340" t="str">
        <f t="shared" si="18"/>
        <v/>
      </c>
      <c r="BN34" s="340" t="str">
        <f t="shared" si="19"/>
        <v/>
      </c>
      <c r="BO34" s="340" t="str">
        <f t="shared" si="20"/>
        <v/>
      </c>
      <c r="BP34" s="340" t="str">
        <f t="shared" si="21"/>
        <v/>
      </c>
      <c r="BQ34" s="340" t="str">
        <f t="shared" si="22"/>
        <v/>
      </c>
      <c r="BR34" s="340" t="str">
        <f t="shared" si="23"/>
        <v/>
      </c>
      <c r="BS34" s="340" t="str">
        <f t="shared" si="24"/>
        <v/>
      </c>
      <c r="BT34" s="341" t="str">
        <f t="shared" si="25"/>
        <v/>
      </c>
      <c r="BU34" s="324"/>
    </row>
    <row r="35" spans="1:73" s="342" customFormat="1">
      <c r="A35" s="324"/>
      <c r="B35" s="324"/>
      <c r="C35" s="570" t="s">
        <v>516</v>
      </c>
      <c r="D35" s="572">
        <v>8.5</v>
      </c>
      <c r="E35" s="572">
        <v>6.7</v>
      </c>
      <c r="F35" s="327">
        <f t="shared" si="48"/>
        <v>1.7999999999999998</v>
      </c>
      <c r="G35" s="570" t="s">
        <v>515</v>
      </c>
      <c r="H35" s="572">
        <v>8.5</v>
      </c>
      <c r="I35" s="572">
        <v>6.6689999999999996</v>
      </c>
      <c r="J35" s="327">
        <f t="shared" si="49"/>
        <v>1.8310000000000004</v>
      </c>
      <c r="K35" s="343">
        <f t="shared" si="50"/>
        <v>2</v>
      </c>
      <c r="L35" s="570">
        <v>12</v>
      </c>
      <c r="M35" s="570">
        <v>900</v>
      </c>
      <c r="N35" s="345">
        <f t="shared" si="51"/>
        <v>528</v>
      </c>
      <c r="O35" s="345">
        <v>109</v>
      </c>
      <c r="P35" s="346">
        <f t="shared" si="52"/>
        <v>419</v>
      </c>
      <c r="Q35" s="332" t="str">
        <f t="shared" si="0"/>
        <v/>
      </c>
      <c r="R35" s="332" t="str">
        <f t="shared" si="1"/>
        <v/>
      </c>
      <c r="S35" s="333" t="str">
        <f t="shared" si="2"/>
        <v/>
      </c>
      <c r="T35" s="333" t="str">
        <f t="shared" si="3"/>
        <v/>
      </c>
      <c r="U35" s="333" t="str">
        <f t="shared" si="4"/>
        <v/>
      </c>
      <c r="V35" s="333" t="str">
        <f t="shared" si="5"/>
        <v/>
      </c>
      <c r="W35" s="333" t="str">
        <f t="shared" si="6"/>
        <v/>
      </c>
      <c r="X35" s="333" t="str">
        <f t="shared" si="7"/>
        <v/>
      </c>
      <c r="Y35" s="333" t="str">
        <f t="shared" si="8"/>
        <v/>
      </c>
      <c r="Z35" s="333">
        <f t="shared" si="9"/>
        <v>5028</v>
      </c>
      <c r="AA35" s="333" t="str">
        <f t="shared" si="10"/>
        <v/>
      </c>
      <c r="AB35" s="333" t="str">
        <f t="shared" si="11"/>
        <v/>
      </c>
      <c r="AC35" s="334" t="str">
        <f t="shared" si="53"/>
        <v/>
      </c>
      <c r="AD35" s="335"/>
      <c r="AE35" s="336">
        <f t="shared" si="54"/>
        <v>7.6302000000000003</v>
      </c>
      <c r="AF35" s="337">
        <f t="shared" si="55"/>
        <v>25.110000000000003</v>
      </c>
      <c r="AG35" s="338">
        <f t="shared" si="56"/>
        <v>12.555000000000001</v>
      </c>
      <c r="AH35" s="339">
        <v>257</v>
      </c>
      <c r="AI35" s="340">
        <v>326</v>
      </c>
      <c r="AJ35" s="340">
        <v>351</v>
      </c>
      <c r="AK35" s="340">
        <v>383</v>
      </c>
      <c r="AL35" s="340">
        <v>388</v>
      </c>
      <c r="AM35" s="340">
        <v>377</v>
      </c>
      <c r="AN35" s="340">
        <v>386</v>
      </c>
      <c r="AO35" s="340">
        <v>404</v>
      </c>
      <c r="AP35" s="340">
        <v>448</v>
      </c>
      <c r="AQ35" s="340">
        <v>528</v>
      </c>
      <c r="AR35" s="340">
        <v>578</v>
      </c>
      <c r="AS35" s="340">
        <v>677</v>
      </c>
      <c r="AT35" s="341">
        <v>737</v>
      </c>
      <c r="AU35" s="339">
        <f t="shared" si="57"/>
        <v>0</v>
      </c>
      <c r="AV35" s="340">
        <f t="shared" si="58"/>
        <v>0</v>
      </c>
      <c r="AW35" s="340">
        <f t="shared" si="59"/>
        <v>0</v>
      </c>
      <c r="AX35" s="340">
        <f t="shared" si="60"/>
        <v>0</v>
      </c>
      <c r="AY35" s="340">
        <f t="shared" si="61"/>
        <v>0</v>
      </c>
      <c r="AZ35" s="340">
        <f t="shared" si="62"/>
        <v>0</v>
      </c>
      <c r="BA35" s="340">
        <f t="shared" si="63"/>
        <v>0</v>
      </c>
      <c r="BB35" s="340">
        <f t="shared" si="64"/>
        <v>0</v>
      </c>
      <c r="BC35" s="340">
        <f t="shared" si="65"/>
        <v>0</v>
      </c>
      <c r="BD35" s="340">
        <f t="shared" si="66"/>
        <v>528</v>
      </c>
      <c r="BE35" s="340">
        <f t="shared" si="67"/>
        <v>0</v>
      </c>
      <c r="BF35" s="340">
        <f t="shared" si="68"/>
        <v>0</v>
      </c>
      <c r="BG35" s="340">
        <f t="shared" si="69"/>
        <v>0</v>
      </c>
      <c r="BH35" s="339" t="str">
        <f t="shared" si="13"/>
        <v/>
      </c>
      <c r="BI35" s="340" t="str">
        <f t="shared" si="14"/>
        <v/>
      </c>
      <c r="BJ35" s="340" t="str">
        <f t="shared" si="15"/>
        <v/>
      </c>
      <c r="BK35" s="340" t="str">
        <f t="shared" si="16"/>
        <v/>
      </c>
      <c r="BL35" s="340" t="str">
        <f t="shared" si="17"/>
        <v/>
      </c>
      <c r="BM35" s="340" t="str">
        <f t="shared" si="18"/>
        <v/>
      </c>
      <c r="BN35" s="340" t="str">
        <f t="shared" si="19"/>
        <v/>
      </c>
      <c r="BO35" s="340" t="str">
        <f t="shared" si="20"/>
        <v/>
      </c>
      <c r="BP35" s="340" t="str">
        <f t="shared" si="21"/>
        <v/>
      </c>
      <c r="BQ35" s="340">
        <f t="shared" si="22"/>
        <v>12</v>
      </c>
      <c r="BR35" s="340" t="str">
        <f t="shared" si="23"/>
        <v/>
      </c>
      <c r="BS35" s="340" t="str">
        <f t="shared" si="24"/>
        <v/>
      </c>
      <c r="BT35" s="341" t="str">
        <f t="shared" si="25"/>
        <v/>
      </c>
      <c r="BU35" s="324"/>
    </row>
    <row r="36" spans="1:73" s="342" customFormat="1">
      <c r="A36" s="324"/>
      <c r="B36" s="324"/>
      <c r="C36" s="570" t="s">
        <v>515</v>
      </c>
      <c r="D36" s="572">
        <v>8.5</v>
      </c>
      <c r="E36" s="572">
        <v>6.6689999999999996</v>
      </c>
      <c r="F36" s="327">
        <f t="shared" si="48"/>
        <v>1.8310000000000004</v>
      </c>
      <c r="G36" s="570" t="s">
        <v>80</v>
      </c>
      <c r="H36" s="572">
        <v>8</v>
      </c>
      <c r="I36" s="572">
        <v>6.2359999999999998</v>
      </c>
      <c r="J36" s="327">
        <f t="shared" si="49"/>
        <v>1.7640000000000002</v>
      </c>
      <c r="K36" s="343">
        <f t="shared" si="50"/>
        <v>2</v>
      </c>
      <c r="L36" s="570">
        <v>100</v>
      </c>
      <c r="M36" s="570">
        <v>300</v>
      </c>
      <c r="N36" s="345">
        <f t="shared" si="51"/>
        <v>291</v>
      </c>
      <c r="O36" s="345">
        <v>109</v>
      </c>
      <c r="P36" s="346">
        <f t="shared" si="52"/>
        <v>182</v>
      </c>
      <c r="Q36" s="332" t="str">
        <f t="shared" si="0"/>
        <v/>
      </c>
      <c r="R36" s="332" t="str">
        <f t="shared" si="1"/>
        <v/>
      </c>
      <c r="S36" s="333">
        <f t="shared" si="2"/>
        <v>18200</v>
      </c>
      <c r="T36" s="333" t="str">
        <f t="shared" si="3"/>
        <v/>
      </c>
      <c r="U36" s="333" t="str">
        <f t="shared" si="4"/>
        <v/>
      </c>
      <c r="V36" s="333" t="str">
        <f t="shared" si="5"/>
        <v/>
      </c>
      <c r="W36" s="333" t="str">
        <f t="shared" si="6"/>
        <v/>
      </c>
      <c r="X36" s="333" t="str">
        <f t="shared" si="7"/>
        <v/>
      </c>
      <c r="Y36" s="333" t="str">
        <f t="shared" si="8"/>
        <v/>
      </c>
      <c r="Z36" s="333" t="str">
        <f t="shared" si="9"/>
        <v/>
      </c>
      <c r="AA36" s="333" t="str">
        <f t="shared" si="10"/>
        <v/>
      </c>
      <c r="AB36" s="333" t="str">
        <f t="shared" si="11"/>
        <v/>
      </c>
      <c r="AC36" s="334" t="str">
        <f t="shared" si="53"/>
        <v/>
      </c>
      <c r="AD36" s="335"/>
      <c r="AE36" s="336">
        <f t="shared" si="54"/>
        <v>7.0650000000000004</v>
      </c>
      <c r="AF36" s="337">
        <f t="shared" si="55"/>
        <v>116.25000000000001</v>
      </c>
      <c r="AG36" s="338">
        <f t="shared" si="56"/>
        <v>104.62500000000001</v>
      </c>
      <c r="AH36" s="339">
        <v>234</v>
      </c>
      <c r="AI36" s="340">
        <v>270</v>
      </c>
      <c r="AJ36" s="340">
        <v>291</v>
      </c>
      <c r="AK36" s="340">
        <v>316</v>
      </c>
      <c r="AL36" s="340">
        <v>321</v>
      </c>
      <c r="AM36" s="340">
        <v>305</v>
      </c>
      <c r="AN36" s="340">
        <v>335</v>
      </c>
      <c r="AO36" s="340">
        <v>353</v>
      </c>
      <c r="AP36" s="340">
        <v>399</v>
      </c>
      <c r="AQ36" s="340">
        <v>479</v>
      </c>
      <c r="AR36" s="340">
        <v>529</v>
      </c>
      <c r="AS36" s="340">
        <v>626</v>
      </c>
      <c r="AT36" s="341">
        <v>686</v>
      </c>
      <c r="AU36" s="339">
        <f t="shared" si="57"/>
        <v>0</v>
      </c>
      <c r="AV36" s="340">
        <f t="shared" si="58"/>
        <v>0</v>
      </c>
      <c r="AW36" s="340">
        <f t="shared" si="59"/>
        <v>291</v>
      </c>
      <c r="AX36" s="340">
        <f t="shared" si="60"/>
        <v>0</v>
      </c>
      <c r="AY36" s="340">
        <f t="shared" si="61"/>
        <v>0</v>
      </c>
      <c r="AZ36" s="340">
        <f t="shared" si="62"/>
        <v>0</v>
      </c>
      <c r="BA36" s="340">
        <f t="shared" si="63"/>
        <v>0</v>
      </c>
      <c r="BB36" s="340">
        <f t="shared" si="64"/>
        <v>0</v>
      </c>
      <c r="BC36" s="340">
        <f t="shared" si="65"/>
        <v>0</v>
      </c>
      <c r="BD36" s="340">
        <f t="shared" si="66"/>
        <v>0</v>
      </c>
      <c r="BE36" s="340">
        <f t="shared" si="67"/>
        <v>0</v>
      </c>
      <c r="BF36" s="340">
        <f t="shared" si="68"/>
        <v>0</v>
      </c>
      <c r="BG36" s="340">
        <f t="shared" si="69"/>
        <v>0</v>
      </c>
      <c r="BH36" s="339" t="str">
        <f t="shared" si="13"/>
        <v/>
      </c>
      <c r="BI36" s="340" t="str">
        <f t="shared" si="14"/>
        <v/>
      </c>
      <c r="BJ36" s="340">
        <f t="shared" si="15"/>
        <v>100</v>
      </c>
      <c r="BK36" s="340" t="str">
        <f t="shared" si="16"/>
        <v/>
      </c>
      <c r="BL36" s="340" t="str">
        <f t="shared" si="17"/>
        <v/>
      </c>
      <c r="BM36" s="340" t="str">
        <f t="shared" si="18"/>
        <v/>
      </c>
      <c r="BN36" s="340" t="str">
        <f t="shared" si="19"/>
        <v/>
      </c>
      <c r="BO36" s="340" t="str">
        <f t="shared" si="20"/>
        <v/>
      </c>
      <c r="BP36" s="340" t="str">
        <f t="shared" si="21"/>
        <v/>
      </c>
      <c r="BQ36" s="340" t="str">
        <f t="shared" si="22"/>
        <v/>
      </c>
      <c r="BR36" s="340" t="str">
        <f t="shared" si="23"/>
        <v/>
      </c>
      <c r="BS36" s="340" t="str">
        <f t="shared" si="24"/>
        <v/>
      </c>
      <c r="BT36" s="341" t="str">
        <f t="shared" si="25"/>
        <v/>
      </c>
      <c r="BU36" s="324"/>
    </row>
    <row r="37" spans="1:73" s="342" customFormat="1">
      <c r="A37" s="324"/>
      <c r="B37" s="324"/>
      <c r="C37" s="570" t="s">
        <v>80</v>
      </c>
      <c r="D37" s="572">
        <v>8</v>
      </c>
      <c r="E37" s="572">
        <v>6.2359999999999998</v>
      </c>
      <c r="F37" s="327">
        <f t="shared" si="48"/>
        <v>1.7640000000000002</v>
      </c>
      <c r="G37" s="570" t="s">
        <v>362</v>
      </c>
      <c r="H37" s="572">
        <v>7.5</v>
      </c>
      <c r="I37" s="572">
        <v>6.1059999999999999</v>
      </c>
      <c r="J37" s="327">
        <f t="shared" si="49"/>
        <v>1.3940000000000001</v>
      </c>
      <c r="K37" s="343">
        <f t="shared" si="50"/>
        <v>1.75</v>
      </c>
      <c r="L37" s="570">
        <v>39</v>
      </c>
      <c r="M37" s="570">
        <v>300</v>
      </c>
      <c r="N37" s="345">
        <f t="shared" si="51"/>
        <v>231</v>
      </c>
      <c r="O37" s="345">
        <v>109</v>
      </c>
      <c r="P37" s="346">
        <f t="shared" si="52"/>
        <v>122</v>
      </c>
      <c r="Q37" s="332" t="str">
        <f t="shared" si="0"/>
        <v/>
      </c>
      <c r="R37" s="332" t="str">
        <f t="shared" si="1"/>
        <v/>
      </c>
      <c r="S37" s="333">
        <f t="shared" si="2"/>
        <v>4758</v>
      </c>
      <c r="T37" s="333" t="str">
        <f t="shared" si="3"/>
        <v/>
      </c>
      <c r="U37" s="333" t="str">
        <f t="shared" si="4"/>
        <v/>
      </c>
      <c r="V37" s="333" t="str">
        <f t="shared" si="5"/>
        <v/>
      </c>
      <c r="W37" s="333" t="str">
        <f t="shared" si="6"/>
        <v/>
      </c>
      <c r="X37" s="333" t="str">
        <f t="shared" si="7"/>
        <v/>
      </c>
      <c r="Y37" s="333" t="str">
        <f t="shared" si="8"/>
        <v/>
      </c>
      <c r="Z37" s="333" t="str">
        <f t="shared" si="9"/>
        <v/>
      </c>
      <c r="AA37" s="333" t="str">
        <f t="shared" si="10"/>
        <v/>
      </c>
      <c r="AB37" s="333" t="str">
        <f t="shared" si="11"/>
        <v/>
      </c>
      <c r="AC37" s="334" t="str">
        <f t="shared" si="53"/>
        <v/>
      </c>
      <c r="AD37" s="335"/>
      <c r="AE37" s="336">
        <f t="shared" si="54"/>
        <v>2.75535</v>
      </c>
      <c r="AF37" s="337">
        <f t="shared" si="55"/>
        <v>38.025000000000006</v>
      </c>
      <c r="AG37" s="338">
        <f t="shared" si="56"/>
        <v>40.803750000000008</v>
      </c>
      <c r="AH37" s="339">
        <v>187</v>
      </c>
      <c r="AI37" s="340">
        <v>210</v>
      </c>
      <c r="AJ37" s="340">
        <v>231</v>
      </c>
      <c r="AK37" s="340">
        <v>245</v>
      </c>
      <c r="AL37" s="340">
        <v>261</v>
      </c>
      <c r="AM37" s="340">
        <v>263</v>
      </c>
      <c r="AN37" s="340">
        <v>284</v>
      </c>
      <c r="AO37" s="340">
        <v>302</v>
      </c>
      <c r="AP37" s="340">
        <v>338</v>
      </c>
      <c r="AQ37" s="340">
        <v>418</v>
      </c>
      <c r="AR37" s="340">
        <v>468</v>
      </c>
      <c r="AS37" s="340">
        <v>570</v>
      </c>
      <c r="AT37" s="341">
        <v>630</v>
      </c>
      <c r="AU37" s="339">
        <f t="shared" si="57"/>
        <v>0</v>
      </c>
      <c r="AV37" s="340">
        <f t="shared" si="58"/>
        <v>0</v>
      </c>
      <c r="AW37" s="340">
        <f t="shared" si="59"/>
        <v>231</v>
      </c>
      <c r="AX37" s="340">
        <f t="shared" si="60"/>
        <v>0</v>
      </c>
      <c r="AY37" s="340">
        <f t="shared" si="61"/>
        <v>0</v>
      </c>
      <c r="AZ37" s="340">
        <f t="shared" si="62"/>
        <v>0</v>
      </c>
      <c r="BA37" s="340">
        <f t="shared" si="63"/>
        <v>0</v>
      </c>
      <c r="BB37" s="340">
        <f t="shared" si="64"/>
        <v>0</v>
      </c>
      <c r="BC37" s="340">
        <f t="shared" si="65"/>
        <v>0</v>
      </c>
      <c r="BD37" s="340">
        <f t="shared" si="66"/>
        <v>0</v>
      </c>
      <c r="BE37" s="340">
        <f t="shared" si="67"/>
        <v>0</v>
      </c>
      <c r="BF37" s="340">
        <f t="shared" si="68"/>
        <v>0</v>
      </c>
      <c r="BG37" s="340">
        <f t="shared" si="69"/>
        <v>0</v>
      </c>
      <c r="BH37" s="339" t="str">
        <f t="shared" si="13"/>
        <v/>
      </c>
      <c r="BI37" s="340" t="str">
        <f t="shared" si="14"/>
        <v/>
      </c>
      <c r="BJ37" s="340">
        <f t="shared" si="15"/>
        <v>39</v>
      </c>
      <c r="BK37" s="340" t="str">
        <f t="shared" si="16"/>
        <v/>
      </c>
      <c r="BL37" s="340" t="str">
        <f t="shared" si="17"/>
        <v/>
      </c>
      <c r="BM37" s="340" t="str">
        <f t="shared" si="18"/>
        <v/>
      </c>
      <c r="BN37" s="340" t="str">
        <f t="shared" si="19"/>
        <v/>
      </c>
      <c r="BO37" s="340" t="str">
        <f t="shared" si="20"/>
        <v/>
      </c>
      <c r="BP37" s="340" t="str">
        <f t="shared" si="21"/>
        <v/>
      </c>
      <c r="BQ37" s="340" t="str">
        <f t="shared" si="22"/>
        <v/>
      </c>
      <c r="BR37" s="340" t="str">
        <f t="shared" si="23"/>
        <v/>
      </c>
      <c r="BS37" s="340" t="str">
        <f t="shared" si="24"/>
        <v/>
      </c>
      <c r="BT37" s="341" t="str">
        <f t="shared" si="25"/>
        <v/>
      </c>
      <c r="BU37" s="324"/>
    </row>
    <row r="38" spans="1:73" s="342" customFormat="1">
      <c r="A38" s="324"/>
      <c r="B38" s="324"/>
      <c r="C38" s="570" t="s">
        <v>362</v>
      </c>
      <c r="D38" s="572">
        <v>7.5</v>
      </c>
      <c r="E38" s="572">
        <v>6.1059999999999999</v>
      </c>
      <c r="F38" s="327">
        <f t="shared" si="48"/>
        <v>1.3940000000000001</v>
      </c>
      <c r="G38" s="570" t="s">
        <v>209</v>
      </c>
      <c r="H38" s="572">
        <v>7.5</v>
      </c>
      <c r="I38" s="572">
        <v>6.0279999999999996</v>
      </c>
      <c r="J38" s="327">
        <f t="shared" si="49"/>
        <v>1.4720000000000004</v>
      </c>
      <c r="K38" s="343">
        <f t="shared" si="50"/>
        <v>1.5</v>
      </c>
      <c r="L38" s="570">
        <v>19</v>
      </c>
      <c r="M38" s="570">
        <v>300</v>
      </c>
      <c r="N38" s="345">
        <f t="shared" si="51"/>
        <v>195</v>
      </c>
      <c r="O38" s="345">
        <v>109</v>
      </c>
      <c r="P38" s="346">
        <f t="shared" si="52"/>
        <v>86</v>
      </c>
      <c r="Q38" s="332" t="str">
        <f t="shared" si="0"/>
        <v/>
      </c>
      <c r="R38" s="332" t="str">
        <f t="shared" si="1"/>
        <v/>
      </c>
      <c r="S38" s="333">
        <f t="shared" si="2"/>
        <v>1634</v>
      </c>
      <c r="T38" s="333" t="str">
        <f t="shared" si="3"/>
        <v/>
      </c>
      <c r="U38" s="333" t="str">
        <f t="shared" si="4"/>
        <v/>
      </c>
      <c r="V38" s="333" t="str">
        <f t="shared" si="5"/>
        <v/>
      </c>
      <c r="W38" s="333" t="str">
        <f t="shared" si="6"/>
        <v/>
      </c>
      <c r="X38" s="333" t="str">
        <f t="shared" si="7"/>
        <v/>
      </c>
      <c r="Y38" s="333" t="str">
        <f t="shared" si="8"/>
        <v/>
      </c>
      <c r="Z38" s="333" t="str">
        <f t="shared" si="9"/>
        <v/>
      </c>
      <c r="AA38" s="333" t="str">
        <f t="shared" si="10"/>
        <v/>
      </c>
      <c r="AB38" s="333" t="str">
        <f t="shared" si="11"/>
        <v/>
      </c>
      <c r="AC38" s="334" t="str">
        <f t="shared" si="53"/>
        <v/>
      </c>
      <c r="AD38" s="335"/>
      <c r="AE38" s="336">
        <f t="shared" si="54"/>
        <v>1.3423500000000002</v>
      </c>
      <c r="AF38" s="337">
        <f t="shared" si="55"/>
        <v>14.962500000000002</v>
      </c>
      <c r="AG38" s="338">
        <f t="shared" si="56"/>
        <v>19.878750000000004</v>
      </c>
      <c r="AH38" s="339">
        <v>145</v>
      </c>
      <c r="AI38" s="340">
        <v>189</v>
      </c>
      <c r="AJ38" s="340">
        <v>195</v>
      </c>
      <c r="AK38" s="340">
        <v>212</v>
      </c>
      <c r="AL38" s="340">
        <v>226</v>
      </c>
      <c r="AM38" s="340">
        <v>234</v>
      </c>
      <c r="AN38" s="340">
        <v>250</v>
      </c>
      <c r="AO38" s="340">
        <v>268</v>
      </c>
      <c r="AP38" s="340">
        <v>298</v>
      </c>
      <c r="AQ38" s="340">
        <v>378</v>
      </c>
      <c r="AR38" s="340">
        <v>428</v>
      </c>
      <c r="AS38" s="340">
        <v>538</v>
      </c>
      <c r="AT38" s="341">
        <v>598</v>
      </c>
      <c r="AU38" s="339">
        <f t="shared" si="57"/>
        <v>0</v>
      </c>
      <c r="AV38" s="340">
        <f t="shared" si="58"/>
        <v>0</v>
      </c>
      <c r="AW38" s="340">
        <f t="shared" si="59"/>
        <v>195</v>
      </c>
      <c r="AX38" s="340">
        <f t="shared" si="60"/>
        <v>0</v>
      </c>
      <c r="AY38" s="340">
        <f t="shared" si="61"/>
        <v>0</v>
      </c>
      <c r="AZ38" s="340">
        <f t="shared" si="62"/>
        <v>0</v>
      </c>
      <c r="BA38" s="340">
        <f t="shared" si="63"/>
        <v>0</v>
      </c>
      <c r="BB38" s="340">
        <f t="shared" si="64"/>
        <v>0</v>
      </c>
      <c r="BC38" s="340">
        <f t="shared" si="65"/>
        <v>0</v>
      </c>
      <c r="BD38" s="340">
        <f t="shared" si="66"/>
        <v>0</v>
      </c>
      <c r="BE38" s="340">
        <f t="shared" si="67"/>
        <v>0</v>
      </c>
      <c r="BF38" s="340">
        <f t="shared" si="68"/>
        <v>0</v>
      </c>
      <c r="BG38" s="340">
        <f t="shared" si="69"/>
        <v>0</v>
      </c>
      <c r="BH38" s="339" t="str">
        <f t="shared" si="13"/>
        <v/>
      </c>
      <c r="BI38" s="340" t="str">
        <f t="shared" si="14"/>
        <v/>
      </c>
      <c r="BJ38" s="340">
        <f t="shared" si="15"/>
        <v>19</v>
      </c>
      <c r="BK38" s="340" t="str">
        <f t="shared" si="16"/>
        <v/>
      </c>
      <c r="BL38" s="340" t="str">
        <f t="shared" si="17"/>
        <v/>
      </c>
      <c r="BM38" s="340" t="str">
        <f t="shared" si="18"/>
        <v/>
      </c>
      <c r="BN38" s="340" t="str">
        <f t="shared" si="19"/>
        <v/>
      </c>
      <c r="BO38" s="340" t="str">
        <f t="shared" si="20"/>
        <v/>
      </c>
      <c r="BP38" s="340" t="str">
        <f t="shared" si="21"/>
        <v/>
      </c>
      <c r="BQ38" s="340" t="str">
        <f t="shared" si="22"/>
        <v/>
      </c>
      <c r="BR38" s="340" t="str">
        <f t="shared" si="23"/>
        <v/>
      </c>
      <c r="BS38" s="340" t="str">
        <f t="shared" si="24"/>
        <v/>
      </c>
      <c r="BT38" s="341" t="str">
        <f t="shared" si="25"/>
        <v/>
      </c>
      <c r="BU38" s="324"/>
    </row>
    <row r="39" spans="1:73" s="342" customFormat="1">
      <c r="A39" s="324"/>
      <c r="B39" s="324"/>
      <c r="C39" s="570" t="s">
        <v>209</v>
      </c>
      <c r="D39" s="572">
        <v>7.5</v>
      </c>
      <c r="E39" s="572">
        <v>6.0279999999999996</v>
      </c>
      <c r="F39" s="327">
        <f t="shared" si="48"/>
        <v>1.4720000000000004</v>
      </c>
      <c r="G39" s="570" t="s">
        <v>210</v>
      </c>
      <c r="H39" s="572">
        <v>7.5</v>
      </c>
      <c r="I39" s="572">
        <v>5.8810000000000002</v>
      </c>
      <c r="J39" s="327">
        <f t="shared" si="49"/>
        <v>1.6189999999999998</v>
      </c>
      <c r="K39" s="343">
        <f t="shared" si="50"/>
        <v>1.75</v>
      </c>
      <c r="L39" s="570">
        <v>36</v>
      </c>
      <c r="M39" s="570">
        <v>300</v>
      </c>
      <c r="N39" s="345">
        <f t="shared" si="51"/>
        <v>311</v>
      </c>
      <c r="O39" s="345">
        <v>109</v>
      </c>
      <c r="P39" s="346">
        <f t="shared" si="52"/>
        <v>202</v>
      </c>
      <c r="Q39" s="332" t="str">
        <f t="shared" si="0"/>
        <v/>
      </c>
      <c r="R39" s="332" t="str">
        <f t="shared" si="1"/>
        <v/>
      </c>
      <c r="S39" s="333">
        <f t="shared" si="2"/>
        <v>7272</v>
      </c>
      <c r="T39" s="333" t="str">
        <f t="shared" si="3"/>
        <v/>
      </c>
      <c r="U39" s="333" t="str">
        <f t="shared" si="4"/>
        <v/>
      </c>
      <c r="V39" s="333" t="str">
        <f t="shared" si="5"/>
        <v/>
      </c>
      <c r="W39" s="333" t="str">
        <f t="shared" si="6"/>
        <v/>
      </c>
      <c r="X39" s="333" t="str">
        <f t="shared" si="7"/>
        <v/>
      </c>
      <c r="Y39" s="333" t="str">
        <f t="shared" si="8"/>
        <v/>
      </c>
      <c r="Z39" s="333" t="str">
        <f t="shared" si="9"/>
        <v/>
      </c>
      <c r="AA39" s="333" t="str">
        <f t="shared" si="10"/>
        <v/>
      </c>
      <c r="AB39" s="333" t="str">
        <f t="shared" si="11"/>
        <v/>
      </c>
      <c r="AC39" s="334" t="str">
        <f t="shared" si="53"/>
        <v/>
      </c>
      <c r="AD39" s="335"/>
      <c r="AE39" s="336">
        <f t="shared" si="54"/>
        <v>2.5434000000000001</v>
      </c>
      <c r="AF39" s="337">
        <f t="shared" si="55"/>
        <v>35.1</v>
      </c>
      <c r="AG39" s="338">
        <f t="shared" si="56"/>
        <v>37.665000000000006</v>
      </c>
      <c r="AH39" s="339">
        <v>240</v>
      </c>
      <c r="AI39" s="340">
        <v>296</v>
      </c>
      <c r="AJ39" s="340">
        <v>311</v>
      </c>
      <c r="AK39" s="340">
        <v>336</v>
      </c>
      <c r="AL39" s="340">
        <v>341</v>
      </c>
      <c r="AM39" s="340">
        <v>337</v>
      </c>
      <c r="AN39" s="340">
        <v>352</v>
      </c>
      <c r="AO39" s="340">
        <v>370</v>
      </c>
      <c r="AP39" s="340">
        <v>414</v>
      </c>
      <c r="AQ39" s="340">
        <v>494</v>
      </c>
      <c r="AR39" s="340">
        <v>544</v>
      </c>
      <c r="AS39" s="340">
        <v>643</v>
      </c>
      <c r="AT39" s="341">
        <v>703</v>
      </c>
      <c r="AU39" s="339">
        <f t="shared" si="57"/>
        <v>0</v>
      </c>
      <c r="AV39" s="340">
        <f t="shared" si="58"/>
        <v>0</v>
      </c>
      <c r="AW39" s="340">
        <f t="shared" si="59"/>
        <v>311</v>
      </c>
      <c r="AX39" s="340">
        <f t="shared" si="60"/>
        <v>0</v>
      </c>
      <c r="AY39" s="340">
        <f t="shared" si="61"/>
        <v>0</v>
      </c>
      <c r="AZ39" s="340">
        <f t="shared" si="62"/>
        <v>0</v>
      </c>
      <c r="BA39" s="340">
        <f t="shared" si="63"/>
        <v>0</v>
      </c>
      <c r="BB39" s="340">
        <f t="shared" si="64"/>
        <v>0</v>
      </c>
      <c r="BC39" s="340">
        <f t="shared" si="65"/>
        <v>0</v>
      </c>
      <c r="BD39" s="340">
        <f t="shared" si="66"/>
        <v>0</v>
      </c>
      <c r="BE39" s="340">
        <f t="shared" si="67"/>
        <v>0</v>
      </c>
      <c r="BF39" s="340">
        <f t="shared" si="68"/>
        <v>0</v>
      </c>
      <c r="BG39" s="340">
        <f t="shared" si="69"/>
        <v>0</v>
      </c>
      <c r="BH39" s="339" t="str">
        <f t="shared" si="13"/>
        <v/>
      </c>
      <c r="BI39" s="340" t="str">
        <f t="shared" si="14"/>
        <v/>
      </c>
      <c r="BJ39" s="340">
        <f t="shared" si="15"/>
        <v>36</v>
      </c>
      <c r="BK39" s="340" t="str">
        <f t="shared" si="16"/>
        <v/>
      </c>
      <c r="BL39" s="340" t="str">
        <f t="shared" si="17"/>
        <v/>
      </c>
      <c r="BM39" s="340" t="str">
        <f t="shared" si="18"/>
        <v/>
      </c>
      <c r="BN39" s="340" t="str">
        <f t="shared" si="19"/>
        <v/>
      </c>
      <c r="BO39" s="340" t="str">
        <f t="shared" si="20"/>
        <v/>
      </c>
      <c r="BP39" s="340" t="str">
        <f t="shared" si="21"/>
        <v/>
      </c>
      <c r="BQ39" s="340" t="str">
        <f t="shared" si="22"/>
        <v/>
      </c>
      <c r="BR39" s="340" t="str">
        <f t="shared" si="23"/>
        <v/>
      </c>
      <c r="BS39" s="340" t="str">
        <f t="shared" si="24"/>
        <v/>
      </c>
      <c r="BT39" s="341" t="str">
        <f t="shared" si="25"/>
        <v/>
      </c>
      <c r="BU39" s="324"/>
    </row>
    <row r="40" spans="1:73" s="342" customFormat="1">
      <c r="A40" s="324"/>
      <c r="B40" s="324"/>
      <c r="C40" s="570" t="s">
        <v>210</v>
      </c>
      <c r="D40" s="572">
        <v>7.5</v>
      </c>
      <c r="E40" s="572">
        <v>5.8810000000000002</v>
      </c>
      <c r="F40" s="327">
        <f t="shared" si="48"/>
        <v>1.6189999999999998</v>
      </c>
      <c r="G40" s="570" t="s">
        <v>514</v>
      </c>
      <c r="H40" s="572">
        <v>7</v>
      </c>
      <c r="I40" s="572">
        <v>5.5940000000000003</v>
      </c>
      <c r="J40" s="327">
        <f t="shared" si="49"/>
        <v>1.4059999999999997</v>
      </c>
      <c r="K40" s="343">
        <f t="shared" si="50"/>
        <v>1.75</v>
      </c>
      <c r="L40" s="570">
        <v>71</v>
      </c>
      <c r="M40" s="570">
        <v>300</v>
      </c>
      <c r="N40" s="345">
        <f t="shared" si="51"/>
        <v>0</v>
      </c>
      <c r="O40" s="345">
        <v>109</v>
      </c>
      <c r="P40" s="346">
        <f t="shared" si="52"/>
        <v>0</v>
      </c>
      <c r="Q40" s="332" t="str">
        <f t="shared" si="0"/>
        <v/>
      </c>
      <c r="R40" s="332" t="str">
        <f t="shared" si="1"/>
        <v/>
      </c>
      <c r="S40" s="333">
        <f t="shared" si="2"/>
        <v>0</v>
      </c>
      <c r="T40" s="333" t="str">
        <f t="shared" si="3"/>
        <v/>
      </c>
      <c r="U40" s="333" t="str">
        <f t="shared" si="4"/>
        <v/>
      </c>
      <c r="V40" s="333" t="str">
        <f t="shared" si="5"/>
        <v/>
      </c>
      <c r="W40" s="333" t="str">
        <f t="shared" si="6"/>
        <v/>
      </c>
      <c r="X40" s="333" t="str">
        <f t="shared" si="7"/>
        <v/>
      </c>
      <c r="Y40" s="333" t="str">
        <f t="shared" si="8"/>
        <v/>
      </c>
      <c r="Z40" s="333" t="str">
        <f t="shared" si="9"/>
        <v/>
      </c>
      <c r="AA40" s="333" t="str">
        <f t="shared" si="10"/>
        <v/>
      </c>
      <c r="AB40" s="333" t="str">
        <f t="shared" si="11"/>
        <v/>
      </c>
      <c r="AC40" s="334">
        <v>25088</v>
      </c>
      <c r="AD40" s="335"/>
      <c r="AE40" s="336">
        <f t="shared" si="54"/>
        <v>5.0161500000000006</v>
      </c>
      <c r="AF40" s="337">
        <f t="shared" si="55"/>
        <v>69.225000000000009</v>
      </c>
      <c r="AG40" s="338">
        <f t="shared" si="56"/>
        <v>74.283750000000012</v>
      </c>
      <c r="AH40" s="339">
        <v>281</v>
      </c>
      <c r="AI40" s="340">
        <v>356</v>
      </c>
      <c r="AJ40" s="340">
        <v>0</v>
      </c>
      <c r="AK40" s="340">
        <v>0</v>
      </c>
      <c r="AL40" s="340">
        <v>414</v>
      </c>
      <c r="AM40" s="340">
        <v>417</v>
      </c>
      <c r="AN40" s="340">
        <v>420</v>
      </c>
      <c r="AO40" s="340">
        <v>438</v>
      </c>
      <c r="AP40" s="340">
        <v>482</v>
      </c>
      <c r="AQ40" s="340">
        <v>562</v>
      </c>
      <c r="AR40" s="340">
        <v>612</v>
      </c>
      <c r="AS40" s="340">
        <v>721</v>
      </c>
      <c r="AT40" s="341">
        <v>781</v>
      </c>
      <c r="AU40" s="339">
        <f t="shared" si="57"/>
        <v>0</v>
      </c>
      <c r="AV40" s="340">
        <f t="shared" si="58"/>
        <v>0</v>
      </c>
      <c r="AW40" s="340">
        <f t="shared" si="59"/>
        <v>0</v>
      </c>
      <c r="AX40" s="340">
        <f t="shared" si="60"/>
        <v>0</v>
      </c>
      <c r="AY40" s="340">
        <f t="shared" si="61"/>
        <v>0</v>
      </c>
      <c r="AZ40" s="340">
        <f t="shared" si="62"/>
        <v>0</v>
      </c>
      <c r="BA40" s="340">
        <f t="shared" si="63"/>
        <v>0</v>
      </c>
      <c r="BB40" s="340">
        <f t="shared" si="64"/>
        <v>0</v>
      </c>
      <c r="BC40" s="340">
        <f t="shared" si="65"/>
        <v>0</v>
      </c>
      <c r="BD40" s="340">
        <f t="shared" si="66"/>
        <v>0</v>
      </c>
      <c r="BE40" s="340">
        <f t="shared" si="67"/>
        <v>0</v>
      </c>
      <c r="BF40" s="340">
        <f t="shared" si="68"/>
        <v>0</v>
      </c>
      <c r="BG40" s="340">
        <f t="shared" si="69"/>
        <v>0</v>
      </c>
      <c r="BH40" s="339" t="str">
        <f t="shared" si="13"/>
        <v/>
      </c>
      <c r="BI40" s="340" t="str">
        <f t="shared" si="14"/>
        <v/>
      </c>
      <c r="BJ40" s="340">
        <f t="shared" si="15"/>
        <v>71</v>
      </c>
      <c r="BK40" s="340" t="str">
        <f t="shared" si="16"/>
        <v/>
      </c>
      <c r="BL40" s="340" t="str">
        <f t="shared" si="17"/>
        <v/>
      </c>
      <c r="BM40" s="340" t="str">
        <f t="shared" si="18"/>
        <v/>
      </c>
      <c r="BN40" s="340" t="str">
        <f t="shared" si="19"/>
        <v/>
      </c>
      <c r="BO40" s="340" t="str">
        <f t="shared" si="20"/>
        <v/>
      </c>
      <c r="BP40" s="340" t="str">
        <f t="shared" si="21"/>
        <v/>
      </c>
      <c r="BQ40" s="340" t="str">
        <f t="shared" si="22"/>
        <v/>
      </c>
      <c r="BR40" s="340" t="str">
        <f t="shared" si="23"/>
        <v/>
      </c>
      <c r="BS40" s="340" t="str">
        <f t="shared" si="24"/>
        <v/>
      </c>
      <c r="BT40" s="341" t="str">
        <f t="shared" si="25"/>
        <v/>
      </c>
      <c r="BU40" s="324"/>
    </row>
    <row r="41" spans="1:73" s="342" customFormat="1">
      <c r="A41" s="324"/>
      <c r="B41" s="324"/>
      <c r="C41" s="325"/>
      <c r="D41" s="326"/>
      <c r="E41" s="326"/>
      <c r="F41" s="327">
        <f t="shared" si="48"/>
        <v>0</v>
      </c>
      <c r="G41" s="325"/>
      <c r="H41" s="326"/>
      <c r="I41" s="326"/>
      <c r="J41" s="327">
        <f t="shared" si="49"/>
        <v>0</v>
      </c>
      <c r="K41" s="343">
        <f t="shared" si="50"/>
        <v>0</v>
      </c>
      <c r="L41" s="325"/>
      <c r="M41" s="347"/>
      <c r="N41" s="345">
        <f t="shared" si="51"/>
        <v>0</v>
      </c>
      <c r="O41" s="345">
        <v>109</v>
      </c>
      <c r="P41" s="346">
        <f t="shared" si="52"/>
        <v>0</v>
      </c>
      <c r="Q41" s="332" t="str">
        <f t="shared" si="0"/>
        <v/>
      </c>
      <c r="R41" s="332" t="str">
        <f t="shared" si="1"/>
        <v/>
      </c>
      <c r="S41" s="333" t="str">
        <f t="shared" si="2"/>
        <v/>
      </c>
      <c r="T41" s="333" t="str">
        <f t="shared" si="3"/>
        <v/>
      </c>
      <c r="U41" s="333" t="str">
        <f t="shared" si="4"/>
        <v/>
      </c>
      <c r="V41" s="333" t="str">
        <f t="shared" si="5"/>
        <v/>
      </c>
      <c r="W41" s="333" t="str">
        <f t="shared" si="6"/>
        <v/>
      </c>
      <c r="X41" s="333" t="str">
        <f t="shared" si="7"/>
        <v/>
      </c>
      <c r="Y41" s="333" t="str">
        <f t="shared" si="8"/>
        <v/>
      </c>
      <c r="Z41" s="333" t="str">
        <f t="shared" si="9"/>
        <v/>
      </c>
      <c r="AA41" s="333" t="str">
        <f t="shared" si="10"/>
        <v/>
      </c>
      <c r="AB41" s="333" t="str">
        <f t="shared" si="11"/>
        <v/>
      </c>
      <c r="AC41" s="334">
        <v>15027</v>
      </c>
      <c r="AD41" s="335"/>
      <c r="AE41" s="336">
        <f t="shared" si="54"/>
        <v>0</v>
      </c>
      <c r="AF41" s="337">
        <f t="shared" si="55"/>
        <v>0</v>
      </c>
      <c r="AG41" s="338">
        <f t="shared" si="56"/>
        <v>0</v>
      </c>
      <c r="AH41" s="339">
        <v>204</v>
      </c>
      <c r="AI41" s="340">
        <v>240</v>
      </c>
      <c r="AJ41" s="340">
        <v>271</v>
      </c>
      <c r="AK41" s="340">
        <v>285</v>
      </c>
      <c r="AL41" s="340">
        <v>289</v>
      </c>
      <c r="AM41" s="340">
        <v>291</v>
      </c>
      <c r="AN41" s="340">
        <v>318</v>
      </c>
      <c r="AO41" s="340">
        <v>336</v>
      </c>
      <c r="AP41" s="340">
        <v>380</v>
      </c>
      <c r="AQ41" s="340">
        <v>460</v>
      </c>
      <c r="AR41" s="340">
        <v>510</v>
      </c>
      <c r="AS41" s="340">
        <v>609</v>
      </c>
      <c r="AT41" s="341">
        <v>669</v>
      </c>
      <c r="AU41" s="339">
        <f t="shared" si="57"/>
        <v>0</v>
      </c>
      <c r="AV41" s="340">
        <f t="shared" si="58"/>
        <v>0</v>
      </c>
      <c r="AW41" s="340">
        <f t="shared" si="59"/>
        <v>0</v>
      </c>
      <c r="AX41" s="340">
        <f t="shared" si="60"/>
        <v>0</v>
      </c>
      <c r="AY41" s="340">
        <f t="shared" si="61"/>
        <v>0</v>
      </c>
      <c r="AZ41" s="340">
        <f t="shared" si="62"/>
        <v>0</v>
      </c>
      <c r="BA41" s="340">
        <f t="shared" si="63"/>
        <v>0</v>
      </c>
      <c r="BB41" s="340">
        <f t="shared" si="64"/>
        <v>0</v>
      </c>
      <c r="BC41" s="340">
        <f t="shared" si="65"/>
        <v>0</v>
      </c>
      <c r="BD41" s="340">
        <f t="shared" si="66"/>
        <v>0</v>
      </c>
      <c r="BE41" s="340">
        <f t="shared" si="67"/>
        <v>0</v>
      </c>
      <c r="BF41" s="340">
        <f t="shared" si="68"/>
        <v>0</v>
      </c>
      <c r="BG41" s="340">
        <f t="shared" si="69"/>
        <v>0</v>
      </c>
      <c r="BH41" s="339" t="str">
        <f t="shared" si="13"/>
        <v/>
      </c>
      <c r="BI41" s="340" t="str">
        <f t="shared" si="14"/>
        <v/>
      </c>
      <c r="BJ41" s="340" t="str">
        <f t="shared" si="15"/>
        <v/>
      </c>
      <c r="BK41" s="340" t="str">
        <f t="shared" si="16"/>
        <v/>
      </c>
      <c r="BL41" s="340" t="str">
        <f t="shared" si="17"/>
        <v/>
      </c>
      <c r="BM41" s="340" t="str">
        <f t="shared" si="18"/>
        <v/>
      </c>
      <c r="BN41" s="340" t="str">
        <f t="shared" si="19"/>
        <v/>
      </c>
      <c r="BO41" s="340" t="str">
        <f t="shared" si="20"/>
        <v/>
      </c>
      <c r="BP41" s="340" t="str">
        <f t="shared" si="21"/>
        <v/>
      </c>
      <c r="BQ41" s="340" t="str">
        <f t="shared" si="22"/>
        <v/>
      </c>
      <c r="BR41" s="340" t="str">
        <f t="shared" si="23"/>
        <v/>
      </c>
      <c r="BS41" s="340" t="str">
        <f t="shared" si="24"/>
        <v/>
      </c>
      <c r="BT41" s="341" t="str">
        <f t="shared" si="25"/>
        <v/>
      </c>
      <c r="BU41" s="324"/>
    </row>
    <row r="42" spans="1:73" s="342" customFormat="1">
      <c r="A42" s="324"/>
      <c r="B42" s="324"/>
      <c r="C42" s="325"/>
      <c r="D42" s="326"/>
      <c r="E42" s="326"/>
      <c r="F42" s="327">
        <f t="shared" si="48"/>
        <v>0</v>
      </c>
      <c r="G42" s="325"/>
      <c r="H42" s="326"/>
      <c r="I42" s="326"/>
      <c r="J42" s="327">
        <f t="shared" si="49"/>
        <v>0</v>
      </c>
      <c r="K42" s="343">
        <f t="shared" si="50"/>
        <v>0</v>
      </c>
      <c r="L42" s="325"/>
      <c r="M42" s="344"/>
      <c r="N42" s="345">
        <f t="shared" si="51"/>
        <v>0</v>
      </c>
      <c r="O42" s="345">
        <v>109</v>
      </c>
      <c r="P42" s="346">
        <f t="shared" si="52"/>
        <v>0</v>
      </c>
      <c r="Q42" s="332" t="str">
        <f t="shared" si="0"/>
        <v/>
      </c>
      <c r="R42" s="332" t="str">
        <f t="shared" si="1"/>
        <v/>
      </c>
      <c r="S42" s="333" t="str">
        <f t="shared" si="2"/>
        <v/>
      </c>
      <c r="T42" s="333" t="str">
        <f t="shared" si="3"/>
        <v/>
      </c>
      <c r="U42" s="333" t="str">
        <f t="shared" si="4"/>
        <v/>
      </c>
      <c r="V42" s="333" t="str">
        <f t="shared" si="5"/>
        <v/>
      </c>
      <c r="W42" s="333" t="str">
        <f t="shared" si="6"/>
        <v/>
      </c>
      <c r="X42" s="333" t="str">
        <f t="shared" si="7"/>
        <v/>
      </c>
      <c r="Y42" s="333" t="str">
        <f t="shared" si="8"/>
        <v/>
      </c>
      <c r="Z42" s="333" t="str">
        <f t="shared" si="9"/>
        <v/>
      </c>
      <c r="AA42" s="333" t="str">
        <f t="shared" si="10"/>
        <v/>
      </c>
      <c r="AB42" s="333" t="str">
        <f t="shared" si="11"/>
        <v/>
      </c>
      <c r="AC42" s="334" t="str">
        <f>IF($M42=$AC$7,$L42*$P42,"")</f>
        <v/>
      </c>
      <c r="AD42" s="335"/>
      <c r="AE42" s="336">
        <f t="shared" si="54"/>
        <v>0</v>
      </c>
      <c r="AF42" s="337">
        <f t="shared" si="55"/>
        <v>0</v>
      </c>
      <c r="AG42" s="338">
        <f t="shared" si="56"/>
        <v>0</v>
      </c>
      <c r="AH42" s="339">
        <v>165</v>
      </c>
      <c r="AI42" s="340">
        <v>195</v>
      </c>
      <c r="AJ42" s="340">
        <v>219</v>
      </c>
      <c r="AK42" s="340">
        <v>225</v>
      </c>
      <c r="AL42" s="340">
        <v>247</v>
      </c>
      <c r="AM42" s="340">
        <v>242</v>
      </c>
      <c r="AN42" s="340">
        <v>267</v>
      </c>
      <c r="AO42" s="340">
        <v>285</v>
      </c>
      <c r="AP42" s="340">
        <v>317</v>
      </c>
      <c r="AQ42" s="340">
        <v>397</v>
      </c>
      <c r="AR42" s="340">
        <v>447</v>
      </c>
      <c r="AS42" s="340">
        <v>560</v>
      </c>
      <c r="AT42" s="341">
        <v>620</v>
      </c>
      <c r="AU42" s="339">
        <f t="shared" si="57"/>
        <v>0</v>
      </c>
      <c r="AV42" s="340">
        <f t="shared" si="58"/>
        <v>0</v>
      </c>
      <c r="AW42" s="340">
        <f t="shared" si="59"/>
        <v>0</v>
      </c>
      <c r="AX42" s="340">
        <f t="shared" si="60"/>
        <v>0</v>
      </c>
      <c r="AY42" s="340">
        <f t="shared" si="61"/>
        <v>0</v>
      </c>
      <c r="AZ42" s="340">
        <f t="shared" si="62"/>
        <v>0</v>
      </c>
      <c r="BA42" s="340">
        <f t="shared" si="63"/>
        <v>0</v>
      </c>
      <c r="BB42" s="340">
        <f t="shared" si="64"/>
        <v>0</v>
      </c>
      <c r="BC42" s="340">
        <f t="shared" si="65"/>
        <v>0</v>
      </c>
      <c r="BD42" s="340">
        <f t="shared" si="66"/>
        <v>0</v>
      </c>
      <c r="BE42" s="340">
        <f t="shared" si="67"/>
        <v>0</v>
      </c>
      <c r="BF42" s="340">
        <f t="shared" si="68"/>
        <v>0</v>
      </c>
      <c r="BG42" s="340">
        <f t="shared" si="69"/>
        <v>0</v>
      </c>
      <c r="BH42" s="339" t="str">
        <f t="shared" si="13"/>
        <v/>
      </c>
      <c r="BI42" s="340" t="str">
        <f t="shared" si="14"/>
        <v/>
      </c>
      <c r="BJ42" s="340" t="str">
        <f t="shared" si="15"/>
        <v/>
      </c>
      <c r="BK42" s="340" t="str">
        <f t="shared" si="16"/>
        <v/>
      </c>
      <c r="BL42" s="340" t="str">
        <f t="shared" si="17"/>
        <v/>
      </c>
      <c r="BM42" s="340" t="str">
        <f t="shared" si="18"/>
        <v/>
      </c>
      <c r="BN42" s="340" t="str">
        <f t="shared" si="19"/>
        <v/>
      </c>
      <c r="BO42" s="340" t="str">
        <f t="shared" si="20"/>
        <v/>
      </c>
      <c r="BP42" s="340" t="str">
        <f t="shared" si="21"/>
        <v/>
      </c>
      <c r="BQ42" s="340" t="str">
        <f t="shared" si="22"/>
        <v/>
      </c>
      <c r="BR42" s="340" t="str">
        <f t="shared" si="23"/>
        <v/>
      </c>
      <c r="BS42" s="340" t="str">
        <f t="shared" si="24"/>
        <v/>
      </c>
      <c r="BT42" s="341" t="str">
        <f t="shared" si="25"/>
        <v/>
      </c>
      <c r="BU42" s="324"/>
    </row>
    <row r="43" spans="1:73" s="342" customFormat="1">
      <c r="A43" s="324"/>
      <c r="B43" s="324"/>
      <c r="C43" s="325" t="s">
        <v>142</v>
      </c>
      <c r="D43" s="326"/>
      <c r="E43" s="326"/>
      <c r="F43" s="327">
        <f t="shared" si="48"/>
        <v>0</v>
      </c>
      <c r="G43" s="325" t="s">
        <v>142</v>
      </c>
      <c r="H43" s="326"/>
      <c r="I43" s="326"/>
      <c r="J43" s="327">
        <f t="shared" si="49"/>
        <v>0</v>
      </c>
      <c r="K43" s="343">
        <f t="shared" si="50"/>
        <v>0</v>
      </c>
      <c r="L43" s="325"/>
      <c r="M43" s="344"/>
      <c r="N43" s="345">
        <f t="shared" si="51"/>
        <v>0</v>
      </c>
      <c r="O43" s="345">
        <v>0</v>
      </c>
      <c r="P43" s="346">
        <f t="shared" si="52"/>
        <v>0</v>
      </c>
      <c r="Q43" s="332" t="str">
        <f t="shared" si="0"/>
        <v/>
      </c>
      <c r="R43" s="332" t="str">
        <f t="shared" si="1"/>
        <v/>
      </c>
      <c r="S43" s="333" t="str">
        <f t="shared" si="2"/>
        <v/>
      </c>
      <c r="T43" s="333" t="str">
        <f t="shared" si="3"/>
        <v/>
      </c>
      <c r="U43" s="333" t="str">
        <f t="shared" si="4"/>
        <v/>
      </c>
      <c r="V43" s="333" t="str">
        <f t="shared" si="5"/>
        <v/>
      </c>
      <c r="W43" s="333" t="str">
        <f t="shared" si="6"/>
        <v/>
      </c>
      <c r="X43" s="333" t="str">
        <f t="shared" si="7"/>
        <v/>
      </c>
      <c r="Y43" s="333" t="str">
        <f t="shared" si="8"/>
        <v/>
      </c>
      <c r="Z43" s="333" t="str">
        <f t="shared" si="9"/>
        <v/>
      </c>
      <c r="AA43" s="333" t="str">
        <f t="shared" si="10"/>
        <v/>
      </c>
      <c r="AB43" s="333" t="str">
        <f t="shared" si="11"/>
        <v/>
      </c>
      <c r="AC43" s="334" t="str">
        <f>IF($M43=$AC$7,$L43*$P43,"")</f>
        <v/>
      </c>
      <c r="AD43" s="335"/>
      <c r="AE43" s="336">
        <f t="shared" si="54"/>
        <v>0</v>
      </c>
      <c r="AF43" s="337">
        <f t="shared" si="55"/>
        <v>0</v>
      </c>
      <c r="AG43" s="338">
        <f t="shared" si="56"/>
        <v>0</v>
      </c>
      <c r="AH43" s="339">
        <v>0</v>
      </c>
      <c r="AI43" s="340">
        <v>0</v>
      </c>
      <c r="AJ43" s="340">
        <v>0</v>
      </c>
      <c r="AK43" s="340">
        <v>0</v>
      </c>
      <c r="AL43" s="340">
        <v>0</v>
      </c>
      <c r="AM43" s="340">
        <v>0</v>
      </c>
      <c r="AN43" s="340">
        <v>0</v>
      </c>
      <c r="AO43" s="340">
        <v>0</v>
      </c>
      <c r="AP43" s="340">
        <v>0</v>
      </c>
      <c r="AQ43" s="340">
        <v>0</v>
      </c>
      <c r="AR43" s="340">
        <v>0</v>
      </c>
      <c r="AS43" s="340">
        <v>0</v>
      </c>
      <c r="AT43" s="341">
        <v>0</v>
      </c>
      <c r="AU43" s="339">
        <f t="shared" si="57"/>
        <v>0</v>
      </c>
      <c r="AV43" s="340">
        <f t="shared" si="58"/>
        <v>0</v>
      </c>
      <c r="AW43" s="340">
        <f t="shared" si="59"/>
        <v>0</v>
      </c>
      <c r="AX43" s="340">
        <f t="shared" si="60"/>
        <v>0</v>
      </c>
      <c r="AY43" s="340">
        <f t="shared" si="61"/>
        <v>0</v>
      </c>
      <c r="AZ43" s="340">
        <f t="shared" si="62"/>
        <v>0</v>
      </c>
      <c r="BA43" s="340">
        <f t="shared" si="63"/>
        <v>0</v>
      </c>
      <c r="BB43" s="340">
        <f t="shared" si="64"/>
        <v>0</v>
      </c>
      <c r="BC43" s="340">
        <f t="shared" si="65"/>
        <v>0</v>
      </c>
      <c r="BD43" s="340">
        <f t="shared" si="66"/>
        <v>0</v>
      </c>
      <c r="BE43" s="340">
        <f t="shared" si="67"/>
        <v>0</v>
      </c>
      <c r="BF43" s="340">
        <f t="shared" si="68"/>
        <v>0</v>
      </c>
      <c r="BG43" s="340">
        <f t="shared" si="69"/>
        <v>0</v>
      </c>
      <c r="BH43" s="339" t="str">
        <f t="shared" si="13"/>
        <v/>
      </c>
      <c r="BI43" s="340" t="str">
        <f t="shared" si="14"/>
        <v/>
      </c>
      <c r="BJ43" s="340" t="str">
        <f t="shared" si="15"/>
        <v/>
      </c>
      <c r="BK43" s="340" t="str">
        <f t="shared" si="16"/>
        <v/>
      </c>
      <c r="BL43" s="340" t="str">
        <f t="shared" si="17"/>
        <v/>
      </c>
      <c r="BM43" s="340" t="str">
        <f t="shared" si="18"/>
        <v/>
      </c>
      <c r="BN43" s="340" t="str">
        <f t="shared" si="19"/>
        <v/>
      </c>
      <c r="BO43" s="340" t="str">
        <f t="shared" si="20"/>
        <v/>
      </c>
      <c r="BP43" s="340" t="str">
        <f t="shared" si="21"/>
        <v/>
      </c>
      <c r="BQ43" s="340" t="str">
        <f t="shared" si="22"/>
        <v/>
      </c>
      <c r="BR43" s="340" t="str">
        <f t="shared" si="23"/>
        <v/>
      </c>
      <c r="BS43" s="340" t="str">
        <f t="shared" si="24"/>
        <v/>
      </c>
      <c r="BT43" s="341" t="str">
        <f t="shared" si="25"/>
        <v/>
      </c>
      <c r="BU43" s="324"/>
    </row>
    <row r="44" spans="1:73" s="342" customFormat="1">
      <c r="A44" s="324"/>
      <c r="B44" s="324"/>
      <c r="C44" s="348" t="s">
        <v>142</v>
      </c>
      <c r="D44" s="349"/>
      <c r="E44" s="349"/>
      <c r="F44" s="350">
        <f t="shared" si="48"/>
        <v>0</v>
      </c>
      <c r="G44" s="348" t="s">
        <v>142</v>
      </c>
      <c r="H44" s="349"/>
      <c r="I44" s="349"/>
      <c r="J44" s="350">
        <f t="shared" si="49"/>
        <v>0</v>
      </c>
      <c r="K44" s="351">
        <f t="shared" si="50"/>
        <v>0</v>
      </c>
      <c r="L44" s="348"/>
      <c r="M44" s="352"/>
      <c r="N44" s="353">
        <f t="shared" si="51"/>
        <v>0</v>
      </c>
      <c r="O44" s="353">
        <v>0</v>
      </c>
      <c r="P44" s="354">
        <f t="shared" si="52"/>
        <v>0</v>
      </c>
      <c r="Q44" s="332" t="str">
        <f t="shared" si="0"/>
        <v/>
      </c>
      <c r="R44" s="332" t="str">
        <f t="shared" si="1"/>
        <v/>
      </c>
      <c r="S44" s="333" t="str">
        <f t="shared" si="2"/>
        <v/>
      </c>
      <c r="T44" s="333" t="str">
        <f t="shared" si="3"/>
        <v/>
      </c>
      <c r="U44" s="333" t="str">
        <f t="shared" si="4"/>
        <v/>
      </c>
      <c r="V44" s="333" t="str">
        <f t="shared" si="5"/>
        <v/>
      </c>
      <c r="W44" s="333" t="str">
        <f t="shared" si="6"/>
        <v/>
      </c>
      <c r="X44" s="333" t="str">
        <f t="shared" si="7"/>
        <v/>
      </c>
      <c r="Y44" s="333" t="str">
        <f t="shared" si="8"/>
        <v/>
      </c>
      <c r="Z44" s="333" t="str">
        <f t="shared" si="9"/>
        <v/>
      </c>
      <c r="AA44" s="333" t="str">
        <f t="shared" si="10"/>
        <v/>
      </c>
      <c r="AB44" s="333" t="str">
        <f t="shared" si="11"/>
        <v/>
      </c>
      <c r="AC44" s="334" t="str">
        <f>IF($M44=$AC$7,$L44*$P44,"")</f>
        <v/>
      </c>
      <c r="AD44" s="335"/>
      <c r="AE44" s="336">
        <f t="shared" si="54"/>
        <v>0</v>
      </c>
      <c r="AF44" s="337">
        <f t="shared" si="55"/>
        <v>0</v>
      </c>
      <c r="AG44" s="338">
        <f t="shared" si="56"/>
        <v>0</v>
      </c>
      <c r="AH44" s="355">
        <v>0</v>
      </c>
      <c r="AI44" s="356">
        <v>0</v>
      </c>
      <c r="AJ44" s="356">
        <v>0</v>
      </c>
      <c r="AK44" s="356">
        <v>0</v>
      </c>
      <c r="AL44" s="356">
        <v>0</v>
      </c>
      <c r="AM44" s="356">
        <v>0</v>
      </c>
      <c r="AN44" s="356">
        <v>0</v>
      </c>
      <c r="AO44" s="356">
        <v>0</v>
      </c>
      <c r="AP44" s="356">
        <v>0</v>
      </c>
      <c r="AQ44" s="356">
        <v>0</v>
      </c>
      <c r="AR44" s="356">
        <v>0</v>
      </c>
      <c r="AS44" s="356">
        <v>0</v>
      </c>
      <c r="AT44" s="357">
        <v>0</v>
      </c>
      <c r="AU44" s="355">
        <f t="shared" si="57"/>
        <v>0</v>
      </c>
      <c r="AV44" s="356">
        <f t="shared" si="58"/>
        <v>0</v>
      </c>
      <c r="AW44" s="356">
        <f t="shared" si="59"/>
        <v>0</v>
      </c>
      <c r="AX44" s="356">
        <f t="shared" si="60"/>
        <v>0</v>
      </c>
      <c r="AY44" s="356">
        <f t="shared" si="61"/>
        <v>0</v>
      </c>
      <c r="AZ44" s="356">
        <f t="shared" si="62"/>
        <v>0</v>
      </c>
      <c r="BA44" s="356">
        <f t="shared" si="63"/>
        <v>0</v>
      </c>
      <c r="BB44" s="356">
        <f t="shared" si="64"/>
        <v>0</v>
      </c>
      <c r="BC44" s="356">
        <f t="shared" si="65"/>
        <v>0</v>
      </c>
      <c r="BD44" s="356">
        <f t="shared" si="66"/>
        <v>0</v>
      </c>
      <c r="BE44" s="356">
        <f t="shared" si="67"/>
        <v>0</v>
      </c>
      <c r="BF44" s="356">
        <f t="shared" si="68"/>
        <v>0</v>
      </c>
      <c r="BG44" s="356">
        <f t="shared" si="69"/>
        <v>0</v>
      </c>
      <c r="BH44" s="355" t="str">
        <f t="shared" si="13"/>
        <v/>
      </c>
      <c r="BI44" s="356" t="str">
        <f t="shared" si="14"/>
        <v/>
      </c>
      <c r="BJ44" s="356" t="str">
        <f t="shared" si="15"/>
        <v/>
      </c>
      <c r="BK44" s="356" t="str">
        <f t="shared" si="16"/>
        <v/>
      </c>
      <c r="BL44" s="356" t="str">
        <f t="shared" si="17"/>
        <v/>
      </c>
      <c r="BM44" s="356" t="str">
        <f t="shared" si="18"/>
        <v/>
      </c>
      <c r="BN44" s="356" t="str">
        <f t="shared" si="19"/>
        <v/>
      </c>
      <c r="BO44" s="356" t="str">
        <f t="shared" si="20"/>
        <v/>
      </c>
      <c r="BP44" s="356" t="str">
        <f t="shared" si="21"/>
        <v/>
      </c>
      <c r="BQ44" s="356" t="str">
        <f t="shared" si="22"/>
        <v/>
      </c>
      <c r="BR44" s="356" t="str">
        <f t="shared" si="23"/>
        <v/>
      </c>
      <c r="BS44" s="356" t="str">
        <f t="shared" si="24"/>
        <v/>
      </c>
      <c r="BT44" s="357" t="str">
        <f t="shared" si="25"/>
        <v/>
      </c>
      <c r="BU44" s="324"/>
    </row>
    <row r="45" spans="1:73" s="342" customFormat="1" ht="20" customHeight="1">
      <c r="A45" s="324"/>
      <c r="B45" s="324"/>
      <c r="C45" s="324"/>
      <c r="D45" s="324"/>
      <c r="E45" s="324"/>
      <c r="F45" s="324"/>
      <c r="G45" s="324"/>
      <c r="H45" s="324"/>
      <c r="I45" s="324"/>
      <c r="J45" s="324"/>
      <c r="K45" s="324"/>
      <c r="L45" s="324"/>
      <c r="M45" s="324"/>
      <c r="N45" s="324"/>
      <c r="O45" s="358">
        <f>SUMPRODUCT(L8:L44,O8:O44)</f>
        <v>101043</v>
      </c>
      <c r="P45" s="359" t="s">
        <v>64</v>
      </c>
      <c r="Q45" s="360">
        <f t="shared" ref="Q45:AC45" si="70">SUM(Q8:Q44)</f>
        <v>0</v>
      </c>
      <c r="R45" s="360">
        <f t="shared" si="70"/>
        <v>20308</v>
      </c>
      <c r="S45" s="358">
        <f t="shared" si="70"/>
        <v>46012</v>
      </c>
      <c r="T45" s="358">
        <f t="shared" si="70"/>
        <v>2668</v>
      </c>
      <c r="U45" s="358">
        <f t="shared" si="70"/>
        <v>0</v>
      </c>
      <c r="V45" s="358">
        <f t="shared" si="70"/>
        <v>12348</v>
      </c>
      <c r="W45" s="358">
        <f t="shared" si="70"/>
        <v>0</v>
      </c>
      <c r="X45" s="358">
        <f t="shared" si="70"/>
        <v>0</v>
      </c>
      <c r="Y45" s="358">
        <f t="shared" si="70"/>
        <v>94824</v>
      </c>
      <c r="Z45" s="358">
        <f t="shared" si="70"/>
        <v>5028</v>
      </c>
      <c r="AA45" s="358">
        <f t="shared" si="70"/>
        <v>0</v>
      </c>
      <c r="AB45" s="358">
        <f t="shared" si="70"/>
        <v>0</v>
      </c>
      <c r="AC45" s="361">
        <f t="shared" si="70"/>
        <v>80230</v>
      </c>
      <c r="AD45" s="362">
        <f>ROUND(SUM(Q45:AC45)*112%,-2)</f>
        <v>292800</v>
      </c>
      <c r="AE45" s="363">
        <f>ROUND(SUM(AE8:AE44),0)</f>
        <v>183</v>
      </c>
      <c r="AF45" s="364">
        <f>ROUND(SUM(AF8:AF44),0)</f>
        <v>1336</v>
      </c>
      <c r="AG45" s="364">
        <f>ROUND(SUM(AG8:AG44),0)</f>
        <v>991</v>
      </c>
      <c r="AH45" s="365"/>
      <c r="AI45" s="365"/>
      <c r="AJ45" s="365"/>
      <c r="AK45" s="365"/>
      <c r="AL45" s="365"/>
      <c r="AM45" s="365"/>
      <c r="AN45" s="365"/>
      <c r="AO45" s="365"/>
      <c r="AP45" s="365"/>
      <c r="AQ45" s="365"/>
      <c r="AR45" s="365"/>
      <c r="AS45" s="365"/>
      <c r="AT45" s="365"/>
      <c r="AU45" s="324"/>
      <c r="AV45" s="324"/>
      <c r="AW45" s="324"/>
      <c r="AX45" s="324"/>
      <c r="AY45" s="324"/>
      <c r="AZ45" s="324"/>
      <c r="BA45" s="324"/>
      <c r="BB45" s="324"/>
      <c r="BC45" s="324"/>
      <c r="BD45" s="359"/>
      <c r="BE45" s="324"/>
      <c r="BF45" s="359"/>
      <c r="BG45" s="324"/>
      <c r="BH45" s="366">
        <f t="shared" ref="BH45:BT45" si="71">SUM(BH8:BH44)</f>
        <v>0</v>
      </c>
      <c r="BI45" s="367">
        <f t="shared" si="71"/>
        <v>128</v>
      </c>
      <c r="BJ45" s="367">
        <f t="shared" si="71"/>
        <v>418</v>
      </c>
      <c r="BK45" s="367">
        <f t="shared" si="71"/>
        <v>50</v>
      </c>
      <c r="BL45" s="367">
        <f t="shared" si="71"/>
        <v>0</v>
      </c>
      <c r="BM45" s="367">
        <f t="shared" si="71"/>
        <v>63</v>
      </c>
      <c r="BN45" s="367">
        <f t="shared" si="71"/>
        <v>0</v>
      </c>
      <c r="BO45" s="367">
        <f t="shared" si="71"/>
        <v>0</v>
      </c>
      <c r="BP45" s="367">
        <f t="shared" si="71"/>
        <v>276</v>
      </c>
      <c r="BQ45" s="367">
        <f t="shared" si="71"/>
        <v>12</v>
      </c>
      <c r="BR45" s="367">
        <f t="shared" si="71"/>
        <v>0</v>
      </c>
      <c r="BS45" s="367">
        <f t="shared" si="71"/>
        <v>0</v>
      </c>
      <c r="BT45" s="368">
        <f t="shared" si="71"/>
        <v>0</v>
      </c>
      <c r="BU45" s="324"/>
    </row>
    <row r="46" spans="1:73" s="342" customFormat="1" ht="20" customHeight="1">
      <c r="A46" s="324"/>
      <c r="B46" s="324"/>
      <c r="C46" s="324"/>
      <c r="D46" s="324"/>
      <c r="E46" s="324"/>
      <c r="F46" s="324"/>
      <c r="G46" s="324"/>
      <c r="H46" s="324"/>
      <c r="I46" s="324"/>
      <c r="J46" s="324"/>
      <c r="K46" s="369" t="s">
        <v>65</v>
      </c>
      <c r="L46" s="359">
        <f>SUM(L8:L44)</f>
        <v>947</v>
      </c>
      <c r="M46" s="324"/>
      <c r="N46" s="324"/>
      <c r="O46" s="358">
        <f>O45+AD45</f>
        <v>393843</v>
      </c>
      <c r="P46" s="369" t="s">
        <v>66</v>
      </c>
      <c r="Q46" s="370">
        <f t="shared" ref="Q46:AC46" si="72">BH45</f>
        <v>0</v>
      </c>
      <c r="R46" s="370">
        <f t="shared" si="72"/>
        <v>128</v>
      </c>
      <c r="S46" s="371">
        <f t="shared" si="72"/>
        <v>418</v>
      </c>
      <c r="T46" s="371">
        <f t="shared" si="72"/>
        <v>50</v>
      </c>
      <c r="U46" s="371">
        <f t="shared" si="72"/>
        <v>0</v>
      </c>
      <c r="V46" s="371">
        <f t="shared" si="72"/>
        <v>63</v>
      </c>
      <c r="W46" s="371">
        <f t="shared" si="72"/>
        <v>0</v>
      </c>
      <c r="X46" s="371">
        <f t="shared" si="72"/>
        <v>0</v>
      </c>
      <c r="Y46" s="371">
        <f t="shared" si="72"/>
        <v>276</v>
      </c>
      <c r="Z46" s="371">
        <f t="shared" si="72"/>
        <v>12</v>
      </c>
      <c r="AA46" s="371">
        <f t="shared" si="72"/>
        <v>0</v>
      </c>
      <c r="AB46" s="371">
        <f t="shared" si="72"/>
        <v>0</v>
      </c>
      <c r="AC46" s="372">
        <f t="shared" si="72"/>
        <v>0</v>
      </c>
      <c r="AD46" s="372">
        <f>SUM(Q46:AC46)</f>
        <v>947</v>
      </c>
      <c r="AE46" s="324"/>
      <c r="AF46" s="324"/>
      <c r="AG46" s="324"/>
      <c r="AH46" s="324"/>
      <c r="AI46" s="324"/>
      <c r="AJ46" s="324"/>
      <c r="AK46" s="324"/>
      <c r="AL46" s="324"/>
      <c r="AM46" s="324"/>
      <c r="AN46" s="324"/>
      <c r="AO46" s="324"/>
      <c r="AP46" s="324"/>
      <c r="AQ46" s="324"/>
      <c r="AR46" s="324"/>
      <c r="AS46" s="324"/>
      <c r="AT46" s="324"/>
      <c r="AU46" s="324"/>
      <c r="AV46" s="324"/>
      <c r="AW46" s="324"/>
      <c r="AX46" s="324"/>
      <c r="AY46" s="324"/>
      <c r="AZ46" s="324"/>
      <c r="BA46" s="324"/>
      <c r="BB46" s="324"/>
      <c r="BC46" s="324"/>
      <c r="BD46" s="324"/>
      <c r="BE46" s="324"/>
      <c r="BF46" s="324"/>
      <c r="BG46" s="324"/>
      <c r="BH46" s="324"/>
      <c r="BI46" s="324"/>
      <c r="BJ46" s="324"/>
      <c r="BK46" s="324"/>
      <c r="BL46" s="324"/>
      <c r="BM46" s="324"/>
      <c r="BN46" s="324"/>
      <c r="BO46" s="324"/>
      <c r="BP46" s="324"/>
      <c r="BQ46" s="324"/>
      <c r="BR46" s="324"/>
      <c r="BS46" s="324"/>
      <c r="BT46" s="324"/>
      <c r="BU46" s="324"/>
    </row>
    <row r="47" spans="1:73" s="342" customFormat="1" ht="20" customHeight="1">
      <c r="A47" s="305" t="s">
        <v>43</v>
      </c>
      <c r="B47" s="324"/>
      <c r="C47" s="324"/>
      <c r="D47" s="324"/>
      <c r="E47" s="324"/>
      <c r="F47" s="324"/>
      <c r="G47" s="324"/>
      <c r="H47" s="324"/>
      <c r="I47" s="324"/>
      <c r="J47" s="324"/>
      <c r="K47" s="324"/>
      <c r="L47" s="324"/>
      <c r="M47" s="324"/>
      <c r="N47" s="324"/>
      <c r="O47" s="324"/>
      <c r="P47" s="369" t="s">
        <v>67</v>
      </c>
      <c r="Q47" s="360">
        <f t="shared" ref="Q47:AD47" si="73">IF(Q45&gt;0,Q45/Q46,0)</f>
        <v>0</v>
      </c>
      <c r="R47" s="360">
        <f t="shared" si="73"/>
        <v>158.65625</v>
      </c>
      <c r="S47" s="358">
        <f t="shared" si="73"/>
        <v>110.07655502392345</v>
      </c>
      <c r="T47" s="358">
        <f t="shared" si="73"/>
        <v>53.36</v>
      </c>
      <c r="U47" s="358">
        <f t="shared" si="73"/>
        <v>0</v>
      </c>
      <c r="V47" s="358">
        <f t="shared" si="73"/>
        <v>196</v>
      </c>
      <c r="W47" s="358">
        <f t="shared" si="73"/>
        <v>0</v>
      </c>
      <c r="X47" s="358">
        <f t="shared" si="73"/>
        <v>0</v>
      </c>
      <c r="Y47" s="358">
        <f t="shared" si="73"/>
        <v>343.56521739130437</v>
      </c>
      <c r="Z47" s="358">
        <f t="shared" si="73"/>
        <v>419</v>
      </c>
      <c r="AA47" s="358">
        <f t="shared" si="73"/>
        <v>0</v>
      </c>
      <c r="AB47" s="358">
        <f t="shared" si="73"/>
        <v>0</v>
      </c>
      <c r="AC47" s="361" t="e">
        <f t="shared" si="73"/>
        <v>#DIV/0!</v>
      </c>
      <c r="AD47" s="361">
        <f t="shared" si="73"/>
        <v>309.18690601900738</v>
      </c>
      <c r="AE47" s="373" t="str">
        <f>IF(AD46=L46,"","CHECK LENGTH")</f>
        <v/>
      </c>
      <c r="AF47" s="324"/>
      <c r="AG47" s="324"/>
      <c r="AH47" s="324"/>
      <c r="AI47" s="324"/>
      <c r="AJ47" s="324"/>
      <c r="AK47" s="324"/>
      <c r="AL47" s="324"/>
      <c r="AM47" s="324"/>
      <c r="AN47" s="324"/>
      <c r="AO47" s="324"/>
      <c r="AP47" s="324"/>
      <c r="AQ47" s="324"/>
      <c r="AR47" s="324"/>
      <c r="AS47" s="324"/>
      <c r="AT47" s="324"/>
      <c r="AU47" s="324"/>
      <c r="AV47" s="324"/>
      <c r="AW47" s="324"/>
      <c r="AX47" s="324"/>
      <c r="AY47" s="324"/>
      <c r="AZ47" s="324"/>
      <c r="BA47" s="324"/>
      <c r="BB47" s="324"/>
      <c r="BC47" s="324"/>
      <c r="BD47" s="324"/>
      <c r="BE47" s="324"/>
      <c r="BF47" s="324"/>
      <c r="BG47" s="324"/>
      <c r="BH47" s="324"/>
      <c r="BI47" s="324"/>
      <c r="BJ47" s="324"/>
      <c r="BK47" s="324"/>
      <c r="BL47" s="324"/>
      <c r="BM47" s="324"/>
      <c r="BN47" s="324"/>
      <c r="BO47" s="324"/>
      <c r="BP47" s="324"/>
      <c r="BQ47" s="324"/>
      <c r="BR47" s="324"/>
      <c r="BS47" s="324"/>
      <c r="BT47" s="324"/>
      <c r="BU47" s="324"/>
    </row>
    <row r="48" spans="1:73" ht="14" thickBot="1">
      <c r="A48" s="321" t="s">
        <v>40</v>
      </c>
      <c r="B48" s="309"/>
      <c r="C48" s="309"/>
      <c r="D48" s="309"/>
      <c r="E48" s="309"/>
      <c r="F48" s="309"/>
      <c r="G48" s="309"/>
      <c r="H48" s="309"/>
      <c r="I48" s="309"/>
      <c r="J48" s="309"/>
      <c r="K48" s="309"/>
      <c r="L48" s="304"/>
      <c r="M48" s="309"/>
      <c r="N48" s="304"/>
      <c r="O48" s="304"/>
      <c r="P48" s="304"/>
      <c r="Q48" s="374">
        <v>150</v>
      </c>
      <c r="R48" s="374">
        <v>225</v>
      </c>
      <c r="S48" s="322">
        <v>300</v>
      </c>
      <c r="T48" s="322">
        <v>375</v>
      </c>
      <c r="U48" s="322">
        <v>450</v>
      </c>
      <c r="V48" s="322">
        <v>525</v>
      </c>
      <c r="W48" s="322">
        <v>600</v>
      </c>
      <c r="X48" s="322">
        <v>675</v>
      </c>
      <c r="Y48" s="322">
        <v>750</v>
      </c>
      <c r="Z48" s="322">
        <v>900</v>
      </c>
      <c r="AA48" s="322">
        <v>1050</v>
      </c>
      <c r="AB48" s="322">
        <v>1200</v>
      </c>
      <c r="AC48" s="375">
        <v>1350</v>
      </c>
      <c r="AD48" s="375" t="b">
        <f>AD46=L46</f>
        <v>1</v>
      </c>
      <c r="AE48" s="302"/>
      <c r="AF48" s="302"/>
      <c r="AG48" s="302"/>
      <c r="AH48" s="302"/>
      <c r="AI48" s="302"/>
      <c r="AJ48" s="302"/>
      <c r="AK48" s="302"/>
      <c r="AL48" s="302"/>
      <c r="AM48" s="302"/>
      <c r="AN48" s="302"/>
      <c r="AO48" s="302"/>
      <c r="AP48" s="302"/>
      <c r="AQ48" s="302"/>
      <c r="AR48" s="302"/>
      <c r="AS48" s="302"/>
      <c r="AT48" s="302"/>
      <c r="AU48" s="302"/>
      <c r="AV48" s="302"/>
      <c r="AW48" s="302"/>
      <c r="AX48" s="302"/>
      <c r="AY48" s="302"/>
      <c r="AZ48" s="302"/>
      <c r="BA48" s="302"/>
      <c r="BB48" s="302"/>
      <c r="BC48" s="302"/>
      <c r="BD48" s="302"/>
      <c r="BE48" s="302"/>
      <c r="BF48" s="302"/>
      <c r="BG48" s="302"/>
      <c r="BH48" s="302"/>
      <c r="BI48" s="302"/>
      <c r="BJ48" s="302"/>
      <c r="BK48" s="302"/>
      <c r="BL48" s="302"/>
      <c r="BM48" s="302"/>
      <c r="BN48" s="302"/>
      <c r="BO48" s="302"/>
      <c r="BP48" s="302"/>
      <c r="BQ48" s="302"/>
      <c r="BR48" s="302"/>
      <c r="BS48" s="302"/>
      <c r="BT48" s="302"/>
      <c r="BU48" s="302"/>
    </row>
    <row r="49" spans="1:73">
      <c r="A49" s="310" t="s">
        <v>68</v>
      </c>
      <c r="B49" s="311" t="s">
        <v>69</v>
      </c>
      <c r="C49" s="311" t="s">
        <v>0</v>
      </c>
      <c r="D49" s="311" t="s">
        <v>56</v>
      </c>
      <c r="E49" s="311" t="s">
        <v>57</v>
      </c>
      <c r="F49" s="311" t="s">
        <v>37</v>
      </c>
      <c r="G49" s="311" t="s">
        <v>70</v>
      </c>
      <c r="H49" s="311" t="s">
        <v>71</v>
      </c>
      <c r="I49" s="311" t="s">
        <v>72</v>
      </c>
      <c r="J49" s="311"/>
      <c r="K49" s="313" t="s">
        <v>73</v>
      </c>
      <c r="L49" s="310" t="s">
        <v>50</v>
      </c>
      <c r="M49" s="311" t="s">
        <v>51</v>
      </c>
      <c r="N49" s="312" t="s">
        <v>74</v>
      </c>
      <c r="O49" s="376"/>
      <c r="P49" s="377"/>
      <c r="Q49" s="302"/>
      <c r="R49" s="302"/>
      <c r="S49" s="302"/>
      <c r="T49" s="302"/>
      <c r="U49" s="302"/>
      <c r="V49" s="302"/>
      <c r="W49" s="302"/>
      <c r="X49" s="302"/>
      <c r="Y49" s="302"/>
      <c r="Z49" s="302"/>
      <c r="AA49" s="302"/>
      <c r="AB49" s="302"/>
      <c r="AC49" s="302"/>
      <c r="AD49" s="302"/>
      <c r="AE49" s="302"/>
      <c r="AF49" s="302"/>
      <c r="AG49" s="1180" t="s">
        <v>75</v>
      </c>
      <c r="AH49" s="1181"/>
      <c r="AI49" s="1181"/>
      <c r="AJ49" s="1181"/>
      <c r="AK49" s="1181"/>
      <c r="AL49" s="1181"/>
      <c r="AM49" s="1181"/>
      <c r="AN49" s="1181"/>
      <c r="AO49" s="1181"/>
      <c r="AP49" s="1182"/>
      <c r="AQ49" s="1180" t="s">
        <v>75</v>
      </c>
      <c r="AR49" s="1181"/>
      <c r="AS49" s="1181"/>
      <c r="AT49" s="1181"/>
      <c r="AU49" s="1181"/>
      <c r="AV49" s="1181"/>
      <c r="AW49" s="1181"/>
      <c r="AX49" s="1181"/>
      <c r="AY49" s="1181"/>
      <c r="AZ49" s="1182"/>
      <c r="BA49" s="302"/>
      <c r="BB49" s="302"/>
      <c r="BC49" s="302"/>
      <c r="BD49" s="302"/>
      <c r="BE49" s="302"/>
      <c r="BF49" s="302"/>
      <c r="BG49" s="302"/>
      <c r="BH49" s="302"/>
      <c r="BI49" s="302"/>
      <c r="BJ49" s="302"/>
      <c r="BK49" s="302"/>
      <c r="BL49" s="302"/>
      <c r="BM49" s="302"/>
      <c r="BN49" s="302"/>
      <c r="BO49" s="302"/>
      <c r="BP49" s="302"/>
      <c r="BQ49" s="302"/>
      <c r="BR49" s="302"/>
      <c r="BS49" s="302"/>
      <c r="BT49" s="302"/>
      <c r="BU49" s="302"/>
    </row>
    <row r="50" spans="1:73" ht="32.25" customHeight="1" thickBot="1">
      <c r="A50" s="316" t="s">
        <v>76</v>
      </c>
      <c r="B50" s="317" t="s">
        <v>76</v>
      </c>
      <c r="C50" s="317"/>
      <c r="D50" s="317"/>
      <c r="E50" s="317"/>
      <c r="F50" s="317"/>
      <c r="G50" s="317"/>
      <c r="H50" s="317"/>
      <c r="I50" s="317" t="s">
        <v>77</v>
      </c>
      <c r="J50" s="317"/>
      <c r="K50" s="319"/>
      <c r="L50" s="316" t="s">
        <v>62</v>
      </c>
      <c r="M50" s="317" t="s">
        <v>78</v>
      </c>
      <c r="N50" s="318" t="s">
        <v>78</v>
      </c>
      <c r="O50" s="378"/>
      <c r="P50" s="319" t="s">
        <v>79</v>
      </c>
      <c r="Q50" s="302"/>
      <c r="R50" s="302"/>
      <c r="S50" s="302"/>
      <c r="T50" s="302"/>
      <c r="U50" s="302"/>
      <c r="V50" s="302"/>
      <c r="W50" s="302"/>
      <c r="X50" s="302"/>
      <c r="Y50" s="302"/>
      <c r="Z50" s="302"/>
      <c r="AA50" s="302"/>
      <c r="AB50" s="302"/>
      <c r="AC50" s="302"/>
      <c r="AD50" s="302"/>
      <c r="AE50" s="302"/>
      <c r="AF50" s="302"/>
      <c r="AG50" s="379">
        <v>900</v>
      </c>
      <c r="AH50" s="380">
        <v>1050</v>
      </c>
      <c r="AI50" s="380">
        <v>1200</v>
      </c>
      <c r="AJ50" s="380">
        <v>1350</v>
      </c>
      <c r="AK50" s="380">
        <v>1500</v>
      </c>
      <c r="AL50" s="380">
        <v>1800</v>
      </c>
      <c r="AM50" s="380">
        <v>2100</v>
      </c>
      <c r="AN50" s="380">
        <v>2400</v>
      </c>
      <c r="AO50" s="380">
        <v>2700</v>
      </c>
      <c r="AP50" s="381">
        <v>3000</v>
      </c>
      <c r="AQ50" s="379">
        <v>900</v>
      </c>
      <c r="AR50" s="380">
        <v>1050</v>
      </c>
      <c r="AS50" s="380">
        <v>1200</v>
      </c>
      <c r="AT50" s="380">
        <v>1350</v>
      </c>
      <c r="AU50" s="380">
        <v>1500</v>
      </c>
      <c r="AV50" s="380">
        <v>1800</v>
      </c>
      <c r="AW50" s="380">
        <v>2100</v>
      </c>
      <c r="AX50" s="380">
        <v>2400</v>
      </c>
      <c r="AY50" s="380">
        <v>2700</v>
      </c>
      <c r="AZ50" s="381">
        <v>3000</v>
      </c>
      <c r="BA50" s="302"/>
      <c r="BB50" s="302"/>
      <c r="BC50" s="302"/>
      <c r="BD50" s="302"/>
      <c r="BE50" s="302"/>
      <c r="BF50" s="302"/>
      <c r="BG50" s="302"/>
      <c r="BH50" s="302"/>
      <c r="BI50" s="302"/>
      <c r="BJ50" s="302"/>
      <c r="BK50" s="302"/>
      <c r="BL50" s="302"/>
      <c r="BM50" s="302"/>
      <c r="BN50" s="302"/>
      <c r="BO50" s="302"/>
      <c r="BP50" s="302"/>
      <c r="BQ50" s="302"/>
      <c r="BR50" s="302"/>
      <c r="BS50" s="302"/>
      <c r="BT50" s="302"/>
      <c r="BU50" s="302"/>
    </row>
    <row r="51" spans="1:73">
      <c r="A51" s="329"/>
      <c r="B51" s="382"/>
      <c r="C51" s="570" t="s">
        <v>97</v>
      </c>
      <c r="D51" s="572">
        <v>9.6199999999999992</v>
      </c>
      <c r="E51" s="572">
        <v>7.4420000000000002</v>
      </c>
      <c r="F51" s="384">
        <f t="shared" ref="F51:F102" si="74">CEILING(D51-E51,0.25)</f>
        <v>2.25</v>
      </c>
      <c r="G51" s="382">
        <v>1800</v>
      </c>
      <c r="H51" s="385">
        <f t="shared" ref="H51:H102" si="75">IF((SUM(AQ51:AZ51))&gt;I51,SUM(AQ51:AZ51),I51)</f>
        <v>8930</v>
      </c>
      <c r="I51" s="385">
        <v>1680</v>
      </c>
      <c r="J51" s="386"/>
      <c r="K51" s="570">
        <v>750</v>
      </c>
      <c r="L51" s="387">
        <f t="shared" ref="L51:L102" si="76">(G51/1000/2*G51/1000/2*3.14)*F51</f>
        <v>5.7226499999999998</v>
      </c>
      <c r="M51" s="384">
        <f t="shared" ref="M51:M102" si="77">22/7*(G51/2/1000)*(G51/2/1000)*F51</f>
        <v>5.7278571428571432</v>
      </c>
      <c r="N51" s="388">
        <f t="shared" ref="N51:N102" si="78">IF(G51&gt;0,(22/7*(1200/2/1000)*(1200/2/1000)*2),0)</f>
        <v>2.2628571428571429</v>
      </c>
      <c r="O51" s="389"/>
      <c r="P51" s="390">
        <f t="shared" ref="P51:P102" si="79">IF($A51&gt;0,(VLOOKUP($G51,$Q$117:$S$122,3)),0)</f>
        <v>0</v>
      </c>
      <c r="Q51" s="302"/>
      <c r="R51" s="302"/>
      <c r="S51" s="302"/>
      <c r="T51" s="302"/>
      <c r="U51" s="302"/>
      <c r="V51" s="302"/>
      <c r="W51" s="302"/>
      <c r="X51" s="302"/>
      <c r="Y51" s="302"/>
      <c r="Z51" s="302"/>
      <c r="AA51" s="302"/>
      <c r="AB51" s="302"/>
      <c r="AC51" s="302"/>
      <c r="AD51" s="302"/>
      <c r="AE51" s="302"/>
      <c r="AF51" s="302"/>
      <c r="AG51" s="391">
        <v>0</v>
      </c>
      <c r="AH51" s="392">
        <v>0</v>
      </c>
      <c r="AI51" s="392">
        <v>0</v>
      </c>
      <c r="AJ51" s="392">
        <v>0</v>
      </c>
      <c r="AK51" s="392">
        <v>7375</v>
      </c>
      <c r="AL51" s="392">
        <v>8930</v>
      </c>
      <c r="AM51" s="392">
        <v>11024</v>
      </c>
      <c r="AN51" s="392">
        <v>13589.105423808407</v>
      </c>
      <c r="AO51" s="392">
        <v>15265</v>
      </c>
      <c r="AP51" s="393">
        <v>0</v>
      </c>
      <c r="AQ51" s="391">
        <f t="shared" ref="AQ51:AQ102" si="80">IF($G51=$AG$50,AG51,0)</f>
        <v>0</v>
      </c>
      <c r="AR51" s="392">
        <f t="shared" ref="AR51:AR102" si="81">IF($G51=$AH$50,AH51,0)</f>
        <v>0</v>
      </c>
      <c r="AS51" s="392">
        <f t="shared" ref="AS51:AS102" si="82">IF($G51=$AI$50,AI51,0)</f>
        <v>0</v>
      </c>
      <c r="AT51" s="392">
        <f t="shared" ref="AT51:AT102" si="83">IF($G51=$AJ$50,AJ51,0)</f>
        <v>0</v>
      </c>
      <c r="AU51" s="392">
        <f t="shared" ref="AU51:AU102" si="84">IF($G51=$AK$50,AK51,0)</f>
        <v>0</v>
      </c>
      <c r="AV51" s="392">
        <f t="shared" ref="AV51:AV102" si="85">IF($G51=$AL$50,AL51,0)</f>
        <v>8930</v>
      </c>
      <c r="AW51" s="392">
        <f t="shared" ref="AW51:AW102" si="86">IF($G51=$AM$50,AM51,0)</f>
        <v>0</v>
      </c>
      <c r="AX51" s="392">
        <f t="shared" ref="AX51:AX102" si="87">IF($G51=$AN$50,AN51,0)</f>
        <v>0</v>
      </c>
      <c r="AY51" s="392">
        <f t="shared" ref="AY51:AY102" si="88">IF($G51=$AO$50,AO51,0)</f>
        <v>0</v>
      </c>
      <c r="AZ51" s="393">
        <f t="shared" ref="AZ51:AZ102" si="89">IF($G51=$AP$50,AP51,0)</f>
        <v>0</v>
      </c>
      <c r="BA51" s="302"/>
      <c r="BB51" s="302"/>
      <c r="BC51" s="302"/>
      <c r="BD51" s="302"/>
      <c r="BE51" s="302"/>
      <c r="BF51" s="302"/>
      <c r="BG51" s="302"/>
      <c r="BH51" s="302"/>
      <c r="BI51" s="302"/>
      <c r="BJ51" s="302"/>
      <c r="BK51" s="302"/>
      <c r="BL51" s="302"/>
      <c r="BM51" s="302"/>
      <c r="BN51" s="302"/>
      <c r="BO51" s="302"/>
      <c r="BP51" s="302"/>
      <c r="BQ51" s="302"/>
      <c r="BR51" s="302"/>
      <c r="BS51" s="302"/>
      <c r="BT51" s="302"/>
      <c r="BU51" s="302"/>
    </row>
    <row r="52" spans="1:73">
      <c r="A52" s="325"/>
      <c r="B52" s="394"/>
      <c r="C52" s="570" t="s">
        <v>96</v>
      </c>
      <c r="D52" s="572">
        <v>9.8000000000000007</v>
      </c>
      <c r="E52" s="572">
        <v>7.35</v>
      </c>
      <c r="F52" s="395">
        <f t="shared" si="74"/>
        <v>2.5</v>
      </c>
      <c r="G52" s="382">
        <v>1800</v>
      </c>
      <c r="H52" s="396">
        <f t="shared" si="75"/>
        <v>8060</v>
      </c>
      <c r="I52" s="396">
        <v>1680</v>
      </c>
      <c r="J52" s="397"/>
      <c r="K52" s="570">
        <v>750</v>
      </c>
      <c r="L52" s="399">
        <f t="shared" si="76"/>
        <v>6.3585000000000003</v>
      </c>
      <c r="M52" s="395">
        <f t="shared" si="77"/>
        <v>6.3642857142857148</v>
      </c>
      <c r="N52" s="400">
        <f t="shared" si="78"/>
        <v>2.2628571428571429</v>
      </c>
      <c r="O52" s="365"/>
      <c r="P52" s="401">
        <f t="shared" si="79"/>
        <v>0</v>
      </c>
      <c r="Q52" s="302"/>
      <c r="R52" s="302"/>
      <c r="S52" s="302"/>
      <c r="T52" s="302"/>
      <c r="U52" s="302"/>
      <c r="V52" s="302"/>
      <c r="W52" s="302"/>
      <c r="X52" s="302"/>
      <c r="Y52" s="302"/>
      <c r="Z52" s="302"/>
      <c r="AA52" s="302"/>
      <c r="AB52" s="302"/>
      <c r="AC52" s="302"/>
      <c r="AD52" s="302"/>
      <c r="AE52" s="302"/>
      <c r="AF52" s="302"/>
      <c r="AG52" s="391">
        <v>0</v>
      </c>
      <c r="AH52" s="392">
        <v>0</v>
      </c>
      <c r="AI52" s="392">
        <v>0</v>
      </c>
      <c r="AJ52" s="392">
        <v>0</v>
      </c>
      <c r="AK52" s="392">
        <v>6925</v>
      </c>
      <c r="AL52" s="392">
        <v>8060</v>
      </c>
      <c r="AM52" s="392">
        <v>9950</v>
      </c>
      <c r="AN52" s="392">
        <v>12265.203099319089</v>
      </c>
      <c r="AO52" s="392">
        <v>13315</v>
      </c>
      <c r="AP52" s="393">
        <v>0</v>
      </c>
      <c r="AQ52" s="391">
        <f t="shared" si="80"/>
        <v>0</v>
      </c>
      <c r="AR52" s="392">
        <f t="shared" si="81"/>
        <v>0</v>
      </c>
      <c r="AS52" s="392">
        <f t="shared" si="82"/>
        <v>0</v>
      </c>
      <c r="AT52" s="392">
        <f t="shared" si="83"/>
        <v>0</v>
      </c>
      <c r="AU52" s="392">
        <f t="shared" si="84"/>
        <v>0</v>
      </c>
      <c r="AV52" s="392">
        <f t="shared" si="85"/>
        <v>8060</v>
      </c>
      <c r="AW52" s="392">
        <f t="shared" si="86"/>
        <v>0</v>
      </c>
      <c r="AX52" s="392">
        <f t="shared" si="87"/>
        <v>0</v>
      </c>
      <c r="AY52" s="392">
        <f t="shared" si="88"/>
        <v>0</v>
      </c>
      <c r="AZ52" s="393">
        <f t="shared" si="89"/>
        <v>0</v>
      </c>
      <c r="BA52" s="302"/>
      <c r="BB52" s="302"/>
      <c r="BC52" s="302"/>
      <c r="BD52" s="302"/>
      <c r="BE52" s="302"/>
      <c r="BF52" s="302"/>
      <c r="BG52" s="302"/>
      <c r="BH52" s="302"/>
      <c r="BI52" s="302"/>
      <c r="BJ52" s="302"/>
      <c r="BK52" s="302"/>
      <c r="BL52" s="302"/>
      <c r="BM52" s="302"/>
      <c r="BN52" s="302"/>
      <c r="BO52" s="302"/>
      <c r="BP52" s="302"/>
      <c r="BQ52" s="302"/>
      <c r="BR52" s="302"/>
      <c r="BS52" s="302"/>
      <c r="BT52" s="302"/>
      <c r="BU52" s="302"/>
    </row>
    <row r="53" spans="1:73">
      <c r="A53" s="325"/>
      <c r="B53" s="394"/>
      <c r="C53" s="570" t="s">
        <v>89</v>
      </c>
      <c r="D53" s="572">
        <v>9.5</v>
      </c>
      <c r="E53" s="572">
        <v>7.2549999999999999</v>
      </c>
      <c r="F53" s="395">
        <f t="shared" si="74"/>
        <v>2.25</v>
      </c>
      <c r="G53" s="382">
        <v>1800</v>
      </c>
      <c r="H53" s="396">
        <f t="shared" si="75"/>
        <v>8060</v>
      </c>
      <c r="I53" s="396">
        <v>1680</v>
      </c>
      <c r="J53" s="397"/>
      <c r="K53" s="570">
        <v>750</v>
      </c>
      <c r="L53" s="399">
        <f t="shared" si="76"/>
        <v>5.7226499999999998</v>
      </c>
      <c r="M53" s="395">
        <f t="shared" si="77"/>
        <v>5.7278571428571432</v>
      </c>
      <c r="N53" s="400">
        <f t="shared" si="78"/>
        <v>2.2628571428571429</v>
      </c>
      <c r="O53" s="365"/>
      <c r="P53" s="401">
        <f t="shared" si="79"/>
        <v>0</v>
      </c>
      <c r="Q53" s="302"/>
      <c r="R53" s="302"/>
      <c r="S53" s="302"/>
      <c r="T53" s="302"/>
      <c r="U53" s="302"/>
      <c r="V53" s="302"/>
      <c r="W53" s="302"/>
      <c r="X53" s="302"/>
      <c r="Y53" s="302"/>
      <c r="Z53" s="302"/>
      <c r="AA53" s="302"/>
      <c r="AB53" s="302"/>
      <c r="AC53" s="302"/>
      <c r="AD53" s="302"/>
      <c r="AE53" s="302"/>
      <c r="AF53" s="302"/>
      <c r="AG53" s="391">
        <v>0</v>
      </c>
      <c r="AH53" s="392">
        <v>0</v>
      </c>
      <c r="AI53" s="392">
        <v>0</v>
      </c>
      <c r="AJ53" s="392">
        <v>0</v>
      </c>
      <c r="AK53" s="392">
        <v>6925</v>
      </c>
      <c r="AL53" s="392">
        <v>8060</v>
      </c>
      <c r="AM53" s="392">
        <v>9950</v>
      </c>
      <c r="AN53" s="392">
        <v>12265.203099319089</v>
      </c>
      <c r="AO53" s="392">
        <v>13315</v>
      </c>
      <c r="AP53" s="393">
        <v>0</v>
      </c>
      <c r="AQ53" s="391">
        <f t="shared" si="80"/>
        <v>0</v>
      </c>
      <c r="AR53" s="392">
        <f t="shared" si="81"/>
        <v>0</v>
      </c>
      <c r="AS53" s="392">
        <f t="shared" si="82"/>
        <v>0</v>
      </c>
      <c r="AT53" s="392">
        <f t="shared" si="83"/>
        <v>0</v>
      </c>
      <c r="AU53" s="392">
        <f t="shared" si="84"/>
        <v>0</v>
      </c>
      <c r="AV53" s="392">
        <f t="shared" si="85"/>
        <v>8060</v>
      </c>
      <c r="AW53" s="392">
        <f t="shared" si="86"/>
        <v>0</v>
      </c>
      <c r="AX53" s="392">
        <f t="shared" si="87"/>
        <v>0</v>
      </c>
      <c r="AY53" s="392">
        <f t="shared" si="88"/>
        <v>0</v>
      </c>
      <c r="AZ53" s="393">
        <f t="shared" si="89"/>
        <v>0</v>
      </c>
      <c r="BA53" s="302"/>
      <c r="BB53" s="302"/>
      <c r="BC53" s="302"/>
      <c r="BD53" s="302"/>
      <c r="BE53" s="302"/>
      <c r="BF53" s="302"/>
      <c r="BG53" s="302"/>
      <c r="BH53" s="302"/>
      <c r="BI53" s="302"/>
      <c r="BJ53" s="302"/>
      <c r="BK53" s="302"/>
      <c r="BL53" s="302"/>
      <c r="BM53" s="302"/>
      <c r="BN53" s="302"/>
      <c r="BO53" s="302"/>
      <c r="BP53" s="302"/>
      <c r="BQ53" s="302"/>
      <c r="BR53" s="302"/>
      <c r="BS53" s="302"/>
      <c r="BT53" s="302"/>
      <c r="BU53" s="302"/>
    </row>
    <row r="54" spans="1:73">
      <c r="A54" s="325"/>
      <c r="B54" s="394"/>
      <c r="C54" s="570" t="s">
        <v>88</v>
      </c>
      <c r="D54" s="572">
        <v>9.5500000000000007</v>
      </c>
      <c r="E54" s="572">
        <v>7.0359999999999996</v>
      </c>
      <c r="F54" s="395">
        <f t="shared" si="74"/>
        <v>2.75</v>
      </c>
      <c r="G54" s="382">
        <v>1800</v>
      </c>
      <c r="H54" s="396">
        <f t="shared" si="75"/>
        <v>7480</v>
      </c>
      <c r="I54" s="396">
        <v>1680</v>
      </c>
      <c r="J54" s="397"/>
      <c r="K54" s="570">
        <v>750</v>
      </c>
      <c r="L54" s="399">
        <f t="shared" si="76"/>
        <v>6.9943500000000007</v>
      </c>
      <c r="M54" s="395">
        <f t="shared" si="77"/>
        <v>7.0007142857142863</v>
      </c>
      <c r="N54" s="400">
        <f t="shared" si="78"/>
        <v>2.2628571428571429</v>
      </c>
      <c r="O54" s="365"/>
      <c r="P54" s="401">
        <f t="shared" si="79"/>
        <v>0</v>
      </c>
      <c r="Q54" s="302"/>
      <c r="R54" s="302"/>
      <c r="S54" s="302"/>
      <c r="T54" s="302"/>
      <c r="U54" s="302"/>
      <c r="V54" s="302"/>
      <c r="W54" s="302"/>
      <c r="X54" s="302"/>
      <c r="Y54" s="302"/>
      <c r="Z54" s="302"/>
      <c r="AA54" s="302"/>
      <c r="AB54" s="302"/>
      <c r="AC54" s="302"/>
      <c r="AD54" s="302"/>
      <c r="AE54" s="302"/>
      <c r="AF54" s="302"/>
      <c r="AG54" s="391">
        <v>0</v>
      </c>
      <c r="AH54" s="392">
        <v>0</v>
      </c>
      <c r="AI54" s="392">
        <v>5550</v>
      </c>
      <c r="AJ54" s="392">
        <v>6662</v>
      </c>
      <c r="AK54" s="392">
        <v>6525</v>
      </c>
      <c r="AL54" s="392">
        <v>7480</v>
      </c>
      <c r="AM54" s="392">
        <v>9234</v>
      </c>
      <c r="AN54" s="392">
        <v>11382.601549659545</v>
      </c>
      <c r="AO54" s="392">
        <v>12015</v>
      </c>
      <c r="AP54" s="393">
        <v>13015</v>
      </c>
      <c r="AQ54" s="391">
        <f t="shared" si="80"/>
        <v>0</v>
      </c>
      <c r="AR54" s="392">
        <f t="shared" si="81"/>
        <v>0</v>
      </c>
      <c r="AS54" s="392">
        <f t="shared" si="82"/>
        <v>0</v>
      </c>
      <c r="AT54" s="392">
        <f t="shared" si="83"/>
        <v>0</v>
      </c>
      <c r="AU54" s="392">
        <f t="shared" si="84"/>
        <v>0</v>
      </c>
      <c r="AV54" s="392">
        <f t="shared" si="85"/>
        <v>7480</v>
      </c>
      <c r="AW54" s="392">
        <f t="shared" si="86"/>
        <v>0</v>
      </c>
      <c r="AX54" s="392">
        <f t="shared" si="87"/>
        <v>0</v>
      </c>
      <c r="AY54" s="392">
        <f t="shared" si="88"/>
        <v>0</v>
      </c>
      <c r="AZ54" s="393">
        <f t="shared" si="89"/>
        <v>0</v>
      </c>
      <c r="BA54" s="302"/>
      <c r="BB54" s="302"/>
      <c r="BC54" s="302"/>
      <c r="BD54" s="302"/>
      <c r="BE54" s="302"/>
      <c r="BF54" s="302"/>
      <c r="BG54" s="302"/>
      <c r="BH54" s="302"/>
      <c r="BI54" s="302"/>
      <c r="BJ54" s="302"/>
      <c r="BK54" s="302"/>
      <c r="BL54" s="302"/>
      <c r="BM54" s="302"/>
      <c r="BN54" s="302"/>
      <c r="BO54" s="302"/>
      <c r="BP54" s="302"/>
      <c r="BQ54" s="302"/>
      <c r="BR54" s="302"/>
      <c r="BS54" s="302"/>
      <c r="BT54" s="302"/>
      <c r="BU54" s="302"/>
    </row>
    <row r="55" spans="1:73">
      <c r="A55" s="325"/>
      <c r="B55" s="394"/>
      <c r="C55" s="570" t="s">
        <v>87</v>
      </c>
      <c r="D55" s="572">
        <v>9.5500000000000007</v>
      </c>
      <c r="E55" s="572">
        <v>7.0129999999999999</v>
      </c>
      <c r="F55" s="395">
        <f t="shared" si="74"/>
        <v>2.75</v>
      </c>
      <c r="G55" s="382">
        <v>1800</v>
      </c>
      <c r="H55" s="396">
        <f t="shared" si="75"/>
        <v>6320</v>
      </c>
      <c r="I55" s="396">
        <v>1680</v>
      </c>
      <c r="J55" s="397"/>
      <c r="K55" s="570">
        <v>750</v>
      </c>
      <c r="L55" s="399">
        <f t="shared" si="76"/>
        <v>6.9943500000000007</v>
      </c>
      <c r="M55" s="395">
        <f t="shared" si="77"/>
        <v>7.0007142857142863</v>
      </c>
      <c r="N55" s="400">
        <f t="shared" si="78"/>
        <v>2.2628571428571429</v>
      </c>
      <c r="O55" s="365"/>
      <c r="P55" s="401">
        <f t="shared" si="79"/>
        <v>0</v>
      </c>
      <c r="Q55" s="302"/>
      <c r="R55" s="302"/>
      <c r="S55" s="302"/>
      <c r="T55" s="302"/>
      <c r="U55" s="302"/>
      <c r="V55" s="302"/>
      <c r="W55" s="302"/>
      <c r="X55" s="302"/>
      <c r="Y55" s="302"/>
      <c r="Z55" s="302"/>
      <c r="AA55" s="302"/>
      <c r="AB55" s="302"/>
      <c r="AC55" s="302"/>
      <c r="AD55" s="302"/>
      <c r="AE55" s="302"/>
      <c r="AF55" s="302"/>
      <c r="AG55" s="391">
        <v>0</v>
      </c>
      <c r="AH55" s="392">
        <v>0</v>
      </c>
      <c r="AI55" s="392">
        <v>4575</v>
      </c>
      <c r="AJ55" s="392">
        <v>5090</v>
      </c>
      <c r="AK55" s="392">
        <v>5725</v>
      </c>
      <c r="AL55" s="392">
        <v>6320</v>
      </c>
      <c r="AM55" s="392">
        <v>7750</v>
      </c>
      <c r="AN55" s="392">
        <v>8945</v>
      </c>
      <c r="AO55" s="392">
        <v>9415</v>
      </c>
      <c r="AP55" s="393">
        <v>10415</v>
      </c>
      <c r="AQ55" s="391">
        <f t="shared" si="80"/>
        <v>0</v>
      </c>
      <c r="AR55" s="392">
        <f t="shared" si="81"/>
        <v>0</v>
      </c>
      <c r="AS55" s="392">
        <f t="shared" si="82"/>
        <v>0</v>
      </c>
      <c r="AT55" s="392">
        <f t="shared" si="83"/>
        <v>0</v>
      </c>
      <c r="AU55" s="392">
        <f t="shared" si="84"/>
        <v>0</v>
      </c>
      <c r="AV55" s="392">
        <f t="shared" si="85"/>
        <v>6320</v>
      </c>
      <c r="AW55" s="392">
        <f t="shared" si="86"/>
        <v>0</v>
      </c>
      <c r="AX55" s="392">
        <f t="shared" si="87"/>
        <v>0</v>
      </c>
      <c r="AY55" s="392">
        <f t="shared" si="88"/>
        <v>0</v>
      </c>
      <c r="AZ55" s="393">
        <f t="shared" si="89"/>
        <v>0</v>
      </c>
      <c r="BA55" s="302"/>
      <c r="BB55" s="302"/>
      <c r="BC55" s="302"/>
      <c r="BD55" s="302"/>
      <c r="BE55" s="302"/>
      <c r="BF55" s="302"/>
      <c r="BG55" s="302"/>
      <c r="BH55" s="302"/>
      <c r="BI55" s="302"/>
      <c r="BJ55" s="302"/>
      <c r="BK55" s="302"/>
      <c r="BL55" s="302"/>
      <c r="BM55" s="302"/>
      <c r="BN55" s="302"/>
      <c r="BO55" s="302"/>
      <c r="BP55" s="302"/>
      <c r="BQ55" s="302"/>
      <c r="BR55" s="302"/>
      <c r="BS55" s="302"/>
      <c r="BT55" s="302"/>
      <c r="BU55" s="302"/>
    </row>
    <row r="56" spans="1:73">
      <c r="A56" s="325"/>
      <c r="B56" s="394"/>
      <c r="C56" s="570" t="s">
        <v>86</v>
      </c>
      <c r="D56" s="572">
        <v>9.5</v>
      </c>
      <c r="E56" s="572">
        <v>6.9450000000000003</v>
      </c>
      <c r="F56" s="395">
        <f t="shared" si="74"/>
        <v>2.75</v>
      </c>
      <c r="G56" s="382">
        <v>1800</v>
      </c>
      <c r="H56" s="396">
        <f t="shared" si="75"/>
        <v>4440</v>
      </c>
      <c r="I56" s="396">
        <v>1680</v>
      </c>
      <c r="J56" s="397"/>
      <c r="K56" s="570">
        <v>750</v>
      </c>
      <c r="L56" s="399">
        <f t="shared" si="76"/>
        <v>6.9943500000000007</v>
      </c>
      <c r="M56" s="395">
        <f t="shared" si="77"/>
        <v>7.0007142857142863</v>
      </c>
      <c r="N56" s="400">
        <f t="shared" si="78"/>
        <v>2.2628571428571429</v>
      </c>
      <c r="O56" s="365"/>
      <c r="P56" s="401">
        <f t="shared" si="79"/>
        <v>0</v>
      </c>
      <c r="Q56" s="302"/>
      <c r="R56" s="302"/>
      <c r="S56" s="302"/>
      <c r="T56" s="302"/>
      <c r="U56" s="302"/>
      <c r="V56" s="302"/>
      <c r="W56" s="302"/>
      <c r="X56" s="302"/>
      <c r="Y56" s="302"/>
      <c r="Z56" s="302"/>
      <c r="AA56" s="302"/>
      <c r="AB56" s="302"/>
      <c r="AC56" s="302"/>
      <c r="AD56" s="302"/>
      <c r="AE56" s="302"/>
      <c r="AF56" s="302"/>
      <c r="AG56" s="391">
        <v>0</v>
      </c>
      <c r="AH56" s="392">
        <v>0</v>
      </c>
      <c r="AI56" s="392">
        <v>3890</v>
      </c>
      <c r="AJ56" s="392">
        <v>4345</v>
      </c>
      <c r="AK56" s="392">
        <v>4940</v>
      </c>
      <c r="AL56" s="392">
        <v>4440</v>
      </c>
      <c r="AM56" s="392">
        <v>5403</v>
      </c>
      <c r="AN56" s="392">
        <v>6956</v>
      </c>
      <c r="AO56" s="392">
        <v>8300</v>
      </c>
      <c r="AP56" s="393">
        <v>9030</v>
      </c>
      <c r="AQ56" s="391">
        <f t="shared" si="80"/>
        <v>0</v>
      </c>
      <c r="AR56" s="392">
        <f t="shared" si="81"/>
        <v>0</v>
      </c>
      <c r="AS56" s="392">
        <f t="shared" si="82"/>
        <v>0</v>
      </c>
      <c r="AT56" s="392">
        <f t="shared" si="83"/>
        <v>0</v>
      </c>
      <c r="AU56" s="392">
        <f t="shared" si="84"/>
        <v>0</v>
      </c>
      <c r="AV56" s="392">
        <f t="shared" si="85"/>
        <v>4440</v>
      </c>
      <c r="AW56" s="392">
        <f t="shared" si="86"/>
        <v>0</v>
      </c>
      <c r="AX56" s="392">
        <f t="shared" si="87"/>
        <v>0</v>
      </c>
      <c r="AY56" s="392">
        <f t="shared" si="88"/>
        <v>0</v>
      </c>
      <c r="AZ56" s="393">
        <f t="shared" si="89"/>
        <v>0</v>
      </c>
      <c r="BA56" s="302"/>
      <c r="BB56" s="302"/>
      <c r="BC56" s="302"/>
      <c r="BD56" s="302"/>
      <c r="BE56" s="302"/>
      <c r="BF56" s="302"/>
      <c r="BG56" s="302"/>
      <c r="BH56" s="302"/>
      <c r="BI56" s="302"/>
      <c r="BJ56" s="302"/>
      <c r="BK56" s="302"/>
      <c r="BL56" s="302"/>
      <c r="BM56" s="302"/>
      <c r="BN56" s="302"/>
      <c r="BO56" s="302"/>
      <c r="BP56" s="302"/>
      <c r="BQ56" s="302"/>
      <c r="BR56" s="302"/>
      <c r="BS56" s="302"/>
      <c r="BT56" s="302"/>
      <c r="BU56" s="302"/>
    </row>
    <row r="57" spans="1:73">
      <c r="A57" s="325"/>
      <c r="B57" s="394"/>
      <c r="C57" s="570" t="s">
        <v>85</v>
      </c>
      <c r="D57" s="572">
        <v>9.6999999999999993</v>
      </c>
      <c r="E57" s="572">
        <v>6.859</v>
      </c>
      <c r="F57" s="395">
        <f t="shared" si="74"/>
        <v>3</v>
      </c>
      <c r="G57" s="382">
        <v>1800</v>
      </c>
      <c r="H57" s="396">
        <f t="shared" si="75"/>
        <v>4168</v>
      </c>
      <c r="I57" s="396">
        <v>1680</v>
      </c>
      <c r="J57" s="397"/>
      <c r="K57" s="570">
        <v>750</v>
      </c>
      <c r="L57" s="399">
        <f t="shared" si="76"/>
        <v>7.6302000000000003</v>
      </c>
      <c r="M57" s="395">
        <f t="shared" si="77"/>
        <v>7.637142857142857</v>
      </c>
      <c r="N57" s="400">
        <f t="shared" si="78"/>
        <v>2.2628571428571429</v>
      </c>
      <c r="O57" s="365"/>
      <c r="P57" s="401">
        <f t="shared" si="79"/>
        <v>0</v>
      </c>
      <c r="Q57" s="302"/>
      <c r="R57" s="302"/>
      <c r="S57" s="302"/>
      <c r="T57" s="302"/>
      <c r="U57" s="302"/>
      <c r="V57" s="302"/>
      <c r="W57" s="302"/>
      <c r="X57" s="302"/>
      <c r="Y57" s="302"/>
      <c r="Z57" s="302"/>
      <c r="AA57" s="302"/>
      <c r="AB57" s="302"/>
      <c r="AC57" s="302"/>
      <c r="AD57" s="302"/>
      <c r="AE57" s="302"/>
      <c r="AF57" s="302"/>
      <c r="AG57" s="391">
        <v>0</v>
      </c>
      <c r="AH57" s="392">
        <v>0</v>
      </c>
      <c r="AI57" s="392">
        <v>2370</v>
      </c>
      <c r="AJ57" s="392">
        <v>2590</v>
      </c>
      <c r="AK57" s="392">
        <v>3370</v>
      </c>
      <c r="AL57" s="392">
        <v>4168</v>
      </c>
      <c r="AM57" s="392">
        <v>5072</v>
      </c>
      <c r="AN57" s="392">
        <v>6409</v>
      </c>
      <c r="AO57" s="392">
        <v>7770</v>
      </c>
      <c r="AP57" s="393">
        <v>10436</v>
      </c>
      <c r="AQ57" s="391">
        <f t="shared" si="80"/>
        <v>0</v>
      </c>
      <c r="AR57" s="392">
        <f t="shared" si="81"/>
        <v>0</v>
      </c>
      <c r="AS57" s="392">
        <f t="shared" si="82"/>
        <v>0</v>
      </c>
      <c r="AT57" s="392">
        <f t="shared" si="83"/>
        <v>0</v>
      </c>
      <c r="AU57" s="392">
        <f t="shared" si="84"/>
        <v>0</v>
      </c>
      <c r="AV57" s="392">
        <f t="shared" si="85"/>
        <v>4168</v>
      </c>
      <c r="AW57" s="392">
        <f t="shared" si="86"/>
        <v>0</v>
      </c>
      <c r="AX57" s="392">
        <f t="shared" si="87"/>
        <v>0</v>
      </c>
      <c r="AY57" s="392">
        <f t="shared" si="88"/>
        <v>0</v>
      </c>
      <c r="AZ57" s="393">
        <f t="shared" si="89"/>
        <v>0</v>
      </c>
      <c r="BA57" s="302"/>
      <c r="BB57" s="302"/>
      <c r="BC57" s="302"/>
      <c r="BD57" s="302"/>
      <c r="BE57" s="302"/>
      <c r="BF57" s="302"/>
      <c r="BG57" s="302"/>
      <c r="BH57" s="302"/>
      <c r="BI57" s="302"/>
      <c r="BJ57" s="302"/>
      <c r="BK57" s="302"/>
      <c r="BL57" s="302"/>
      <c r="BM57" s="302"/>
      <c r="BN57" s="302"/>
      <c r="BO57" s="302"/>
      <c r="BP57" s="302"/>
      <c r="BQ57" s="302"/>
      <c r="BR57" s="302"/>
      <c r="BS57" s="302"/>
      <c r="BT57" s="302"/>
      <c r="BU57" s="302"/>
    </row>
    <row r="58" spans="1:73">
      <c r="A58" s="325"/>
      <c r="B58" s="394">
        <v>1</v>
      </c>
      <c r="C58" s="570" t="s">
        <v>84</v>
      </c>
      <c r="D58" s="572">
        <v>9.3000000000000007</v>
      </c>
      <c r="E58" s="572">
        <v>6.7960000000000003</v>
      </c>
      <c r="F58" s="395">
        <f t="shared" si="74"/>
        <v>2.75</v>
      </c>
      <c r="G58" s="382">
        <v>1800</v>
      </c>
      <c r="H58" s="396">
        <f t="shared" si="75"/>
        <v>3385</v>
      </c>
      <c r="I58" s="396">
        <v>1680</v>
      </c>
      <c r="J58" s="397"/>
      <c r="K58" s="570">
        <v>750</v>
      </c>
      <c r="L58" s="399">
        <f t="shared" si="76"/>
        <v>6.9943500000000007</v>
      </c>
      <c r="M58" s="395">
        <f t="shared" si="77"/>
        <v>7.0007142857142863</v>
      </c>
      <c r="N58" s="400">
        <f t="shared" si="78"/>
        <v>2.2628571428571429</v>
      </c>
      <c r="O58" s="365"/>
      <c r="P58" s="401">
        <f t="shared" si="79"/>
        <v>0</v>
      </c>
      <c r="Q58" s="302"/>
      <c r="R58" s="302"/>
      <c r="S58" s="302"/>
      <c r="T58" s="302"/>
      <c r="U58" s="302"/>
      <c r="V58" s="302"/>
      <c r="W58" s="302"/>
      <c r="X58" s="302"/>
      <c r="Y58" s="302"/>
      <c r="Z58" s="302"/>
      <c r="AA58" s="302"/>
      <c r="AB58" s="302"/>
      <c r="AC58" s="302"/>
      <c r="AD58" s="302"/>
      <c r="AE58" s="302"/>
      <c r="AF58" s="302"/>
      <c r="AG58" s="391">
        <v>0</v>
      </c>
      <c r="AH58" s="392">
        <v>0</v>
      </c>
      <c r="AI58" s="392">
        <v>2060</v>
      </c>
      <c r="AJ58" s="392">
        <v>2390</v>
      </c>
      <c r="AK58" s="392">
        <v>2890</v>
      </c>
      <c r="AL58" s="392">
        <v>3385</v>
      </c>
      <c r="AM58" s="392">
        <v>4120</v>
      </c>
      <c r="AN58" s="392">
        <v>6101</v>
      </c>
      <c r="AO58" s="392">
        <v>6820</v>
      </c>
      <c r="AP58" s="393">
        <v>9160</v>
      </c>
      <c r="AQ58" s="391">
        <f t="shared" si="80"/>
        <v>0</v>
      </c>
      <c r="AR58" s="392">
        <f t="shared" si="81"/>
        <v>0</v>
      </c>
      <c r="AS58" s="392">
        <f t="shared" si="82"/>
        <v>0</v>
      </c>
      <c r="AT58" s="392">
        <f t="shared" si="83"/>
        <v>0</v>
      </c>
      <c r="AU58" s="392">
        <f t="shared" si="84"/>
        <v>0</v>
      </c>
      <c r="AV58" s="392">
        <f t="shared" si="85"/>
        <v>3385</v>
      </c>
      <c r="AW58" s="392">
        <f t="shared" si="86"/>
        <v>0</v>
      </c>
      <c r="AX58" s="392">
        <f t="shared" si="87"/>
        <v>0</v>
      </c>
      <c r="AY58" s="392">
        <f t="shared" si="88"/>
        <v>0</v>
      </c>
      <c r="AZ58" s="393">
        <f t="shared" si="89"/>
        <v>0</v>
      </c>
      <c r="BA58" s="302"/>
      <c r="BB58" s="302"/>
      <c r="BC58" s="302"/>
      <c r="BD58" s="302"/>
      <c r="BE58" s="302"/>
      <c r="BF58" s="302"/>
      <c r="BG58" s="302"/>
      <c r="BH58" s="302"/>
      <c r="BI58" s="302"/>
      <c r="BJ58" s="302"/>
      <c r="BK58" s="302"/>
      <c r="BL58" s="302"/>
      <c r="BM58" s="302"/>
      <c r="BN58" s="302"/>
      <c r="BO58" s="302"/>
      <c r="BP58" s="302"/>
      <c r="BQ58" s="302"/>
      <c r="BR58" s="302"/>
      <c r="BS58" s="302"/>
      <c r="BT58" s="302"/>
      <c r="BU58" s="302"/>
    </row>
    <row r="59" spans="1:73" s="416" customFormat="1">
      <c r="A59" s="402"/>
      <c r="B59" s="403"/>
      <c r="C59" s="570" t="s">
        <v>517</v>
      </c>
      <c r="D59" s="572">
        <v>8.5500000000000007</v>
      </c>
      <c r="E59" s="572">
        <v>6.7510000000000003</v>
      </c>
      <c r="F59" s="404">
        <f t="shared" si="74"/>
        <v>2</v>
      </c>
      <c r="G59" s="382">
        <v>1200</v>
      </c>
      <c r="H59" s="405">
        <f t="shared" si="75"/>
        <v>1680</v>
      </c>
      <c r="I59" s="405">
        <v>1680</v>
      </c>
      <c r="J59" s="406"/>
      <c r="K59" s="570"/>
      <c r="L59" s="407">
        <f t="shared" si="76"/>
        <v>2.2608000000000001</v>
      </c>
      <c r="M59" s="404">
        <f t="shared" si="77"/>
        <v>2.2628571428571429</v>
      </c>
      <c r="N59" s="408">
        <f t="shared" si="78"/>
        <v>2.2628571428571429</v>
      </c>
      <c r="O59" s="409"/>
      <c r="P59" s="410">
        <f t="shared" si="79"/>
        <v>0</v>
      </c>
      <c r="Q59" s="411"/>
      <c r="R59" s="411"/>
      <c r="S59" s="411"/>
      <c r="T59" s="412"/>
      <c r="U59" s="412"/>
      <c r="V59" s="412"/>
      <c r="W59" s="412"/>
      <c r="X59" s="412"/>
      <c r="Y59" s="412"/>
      <c r="Z59" s="412"/>
      <c r="AA59" s="412"/>
      <c r="AB59" s="412"/>
      <c r="AC59" s="412"/>
      <c r="AD59" s="412"/>
      <c r="AE59" s="412"/>
      <c r="AF59" s="412"/>
      <c r="AG59" s="413">
        <v>0</v>
      </c>
      <c r="AH59" s="414">
        <v>0</v>
      </c>
      <c r="AI59" s="414">
        <v>0</v>
      </c>
      <c r="AJ59" s="414">
        <v>0</v>
      </c>
      <c r="AK59" s="414">
        <v>7075</v>
      </c>
      <c r="AL59" s="414">
        <v>8350</v>
      </c>
      <c r="AM59" s="414">
        <v>10308</v>
      </c>
      <c r="AN59" s="414">
        <v>12706.503874148862</v>
      </c>
      <c r="AO59" s="414">
        <v>13965</v>
      </c>
      <c r="AP59" s="415">
        <v>0</v>
      </c>
      <c r="AQ59" s="413">
        <f t="shared" si="80"/>
        <v>0</v>
      </c>
      <c r="AR59" s="414">
        <f t="shared" si="81"/>
        <v>0</v>
      </c>
      <c r="AS59" s="414">
        <f t="shared" si="82"/>
        <v>0</v>
      </c>
      <c r="AT59" s="414">
        <f t="shared" si="83"/>
        <v>0</v>
      </c>
      <c r="AU59" s="414">
        <f t="shared" si="84"/>
        <v>0</v>
      </c>
      <c r="AV59" s="414">
        <f t="shared" si="85"/>
        <v>0</v>
      </c>
      <c r="AW59" s="414">
        <f t="shared" si="86"/>
        <v>0</v>
      </c>
      <c r="AX59" s="414">
        <f t="shared" si="87"/>
        <v>0</v>
      </c>
      <c r="AY59" s="414">
        <f t="shared" si="88"/>
        <v>0</v>
      </c>
      <c r="AZ59" s="415">
        <f t="shared" si="89"/>
        <v>0</v>
      </c>
      <c r="BA59" s="412"/>
      <c r="BB59" s="412"/>
      <c r="BC59" s="412"/>
      <c r="BD59" s="412"/>
      <c r="BE59" s="412"/>
      <c r="BF59" s="412"/>
      <c r="BG59" s="412"/>
      <c r="BH59" s="412"/>
      <c r="BI59" s="412"/>
      <c r="BJ59" s="412"/>
      <c r="BK59" s="412"/>
      <c r="BL59" s="412"/>
      <c r="BM59" s="412"/>
      <c r="BN59" s="412"/>
      <c r="BO59" s="412"/>
      <c r="BP59" s="412"/>
      <c r="BQ59" s="412"/>
      <c r="BR59" s="412"/>
      <c r="BS59" s="412"/>
      <c r="BT59" s="412"/>
      <c r="BU59" s="412"/>
    </row>
    <row r="60" spans="1:73">
      <c r="A60" s="325"/>
      <c r="B60" s="394"/>
      <c r="C60" s="570" t="s">
        <v>92</v>
      </c>
      <c r="D60" s="572">
        <v>10</v>
      </c>
      <c r="E60" s="572">
        <v>8.6</v>
      </c>
      <c r="F60" s="395">
        <f t="shared" si="74"/>
        <v>1.5</v>
      </c>
      <c r="G60" s="382">
        <v>1200</v>
      </c>
      <c r="H60" s="396">
        <f t="shared" si="75"/>
        <v>5065</v>
      </c>
      <c r="I60" s="396">
        <v>1680</v>
      </c>
      <c r="J60" s="397"/>
      <c r="K60" s="570">
        <v>225</v>
      </c>
      <c r="L60" s="399">
        <f t="shared" si="76"/>
        <v>1.6956000000000002</v>
      </c>
      <c r="M60" s="395">
        <f t="shared" si="77"/>
        <v>1.6971428571428571</v>
      </c>
      <c r="N60" s="400">
        <f t="shared" si="78"/>
        <v>2.2628571428571429</v>
      </c>
      <c r="O60" s="365"/>
      <c r="P60" s="401">
        <f t="shared" si="79"/>
        <v>0</v>
      </c>
      <c r="Q60" s="302"/>
      <c r="R60" s="302"/>
      <c r="S60" s="302"/>
      <c r="T60" s="302"/>
      <c r="U60" s="302"/>
      <c r="V60" s="302"/>
      <c r="W60" s="302"/>
      <c r="X60" s="302"/>
      <c r="Y60" s="302"/>
      <c r="Z60" s="302"/>
      <c r="AA60" s="302"/>
      <c r="AB60" s="302"/>
      <c r="AC60" s="302"/>
      <c r="AD60" s="302"/>
      <c r="AE60" s="302"/>
      <c r="AF60" s="302"/>
      <c r="AG60" s="391">
        <v>0</v>
      </c>
      <c r="AH60" s="392">
        <v>0</v>
      </c>
      <c r="AI60" s="392">
        <v>5065</v>
      </c>
      <c r="AJ60" s="392">
        <v>5690</v>
      </c>
      <c r="AK60" s="392">
        <v>6125</v>
      </c>
      <c r="AL60" s="392">
        <v>6900</v>
      </c>
      <c r="AM60" s="392">
        <v>8518</v>
      </c>
      <c r="AN60" s="392">
        <v>10500</v>
      </c>
      <c r="AO60" s="392">
        <v>10715</v>
      </c>
      <c r="AP60" s="393">
        <v>11715</v>
      </c>
      <c r="AQ60" s="391">
        <f t="shared" si="80"/>
        <v>0</v>
      </c>
      <c r="AR60" s="392">
        <f t="shared" si="81"/>
        <v>0</v>
      </c>
      <c r="AS60" s="392">
        <f t="shared" si="82"/>
        <v>5065</v>
      </c>
      <c r="AT60" s="392">
        <f t="shared" si="83"/>
        <v>0</v>
      </c>
      <c r="AU60" s="392">
        <f t="shared" si="84"/>
        <v>0</v>
      </c>
      <c r="AV60" s="392">
        <f t="shared" si="85"/>
        <v>0</v>
      </c>
      <c r="AW60" s="392">
        <f t="shared" si="86"/>
        <v>0</v>
      </c>
      <c r="AX60" s="392">
        <f t="shared" si="87"/>
        <v>0</v>
      </c>
      <c r="AY60" s="392">
        <f t="shared" si="88"/>
        <v>0</v>
      </c>
      <c r="AZ60" s="393">
        <f t="shared" si="89"/>
        <v>0</v>
      </c>
      <c r="BA60" s="302"/>
      <c r="BB60" s="302"/>
      <c r="BC60" s="302"/>
      <c r="BD60" s="302"/>
      <c r="BE60" s="302"/>
      <c r="BF60" s="302"/>
      <c r="BG60" s="302"/>
      <c r="BH60" s="302"/>
      <c r="BI60" s="302"/>
      <c r="BJ60" s="302"/>
      <c r="BK60" s="302"/>
      <c r="BL60" s="302"/>
      <c r="BM60" s="302"/>
      <c r="BN60" s="302"/>
      <c r="BO60" s="302"/>
      <c r="BP60" s="302"/>
      <c r="BQ60" s="302"/>
      <c r="BR60" s="302"/>
      <c r="BS60" s="302"/>
      <c r="BT60" s="302"/>
      <c r="BU60" s="302"/>
    </row>
    <row r="61" spans="1:73">
      <c r="A61" s="325"/>
      <c r="B61" s="394">
        <v>1</v>
      </c>
      <c r="C61" s="570" t="s">
        <v>91</v>
      </c>
      <c r="D61" s="572">
        <v>10.1</v>
      </c>
      <c r="E61" s="572">
        <v>8.17</v>
      </c>
      <c r="F61" s="395">
        <f t="shared" si="74"/>
        <v>2</v>
      </c>
      <c r="G61" s="382">
        <v>1500</v>
      </c>
      <c r="H61" s="396">
        <f t="shared" si="75"/>
        <v>2890</v>
      </c>
      <c r="I61" s="396">
        <v>1680</v>
      </c>
      <c r="J61" s="397"/>
      <c r="K61" s="570">
        <v>375</v>
      </c>
      <c r="L61" s="399">
        <f t="shared" si="76"/>
        <v>3.5325000000000002</v>
      </c>
      <c r="M61" s="395">
        <f t="shared" si="77"/>
        <v>3.5357142857142856</v>
      </c>
      <c r="N61" s="400">
        <f t="shared" si="78"/>
        <v>2.2628571428571429</v>
      </c>
      <c r="O61" s="365"/>
      <c r="P61" s="401">
        <f t="shared" si="79"/>
        <v>0</v>
      </c>
      <c r="Q61" s="302"/>
      <c r="R61" s="302"/>
      <c r="S61" s="302"/>
      <c r="T61" s="302"/>
      <c r="U61" s="302"/>
      <c r="V61" s="302"/>
      <c r="W61" s="302"/>
      <c r="X61" s="302"/>
      <c r="Y61" s="302"/>
      <c r="Z61" s="302"/>
      <c r="AA61" s="302"/>
      <c r="AB61" s="302"/>
      <c r="AC61" s="302"/>
      <c r="AD61" s="302"/>
      <c r="AE61" s="302"/>
      <c r="AF61" s="302"/>
      <c r="AG61" s="391">
        <v>0</v>
      </c>
      <c r="AH61" s="392">
        <v>0</v>
      </c>
      <c r="AI61" s="392">
        <v>2060</v>
      </c>
      <c r="AJ61" s="392">
        <v>2390</v>
      </c>
      <c r="AK61" s="392">
        <v>2890</v>
      </c>
      <c r="AL61" s="392">
        <v>3385</v>
      </c>
      <c r="AM61" s="392">
        <v>4120</v>
      </c>
      <c r="AN61" s="392">
        <v>6101</v>
      </c>
      <c r="AO61" s="392">
        <v>6820</v>
      </c>
      <c r="AP61" s="393">
        <v>9160</v>
      </c>
      <c r="AQ61" s="391">
        <f t="shared" si="80"/>
        <v>0</v>
      </c>
      <c r="AR61" s="392">
        <f t="shared" si="81"/>
        <v>0</v>
      </c>
      <c r="AS61" s="392">
        <f t="shared" si="82"/>
        <v>0</v>
      </c>
      <c r="AT61" s="392">
        <f t="shared" si="83"/>
        <v>0</v>
      </c>
      <c r="AU61" s="392">
        <f t="shared" si="84"/>
        <v>2890</v>
      </c>
      <c r="AV61" s="392">
        <f t="shared" si="85"/>
        <v>0</v>
      </c>
      <c r="AW61" s="392">
        <f t="shared" si="86"/>
        <v>0</v>
      </c>
      <c r="AX61" s="392">
        <f t="shared" si="87"/>
        <v>0</v>
      </c>
      <c r="AY61" s="392">
        <f t="shared" si="88"/>
        <v>0</v>
      </c>
      <c r="AZ61" s="393">
        <f t="shared" si="89"/>
        <v>0</v>
      </c>
      <c r="BA61" s="302"/>
      <c r="BB61" s="302"/>
      <c r="BC61" s="302"/>
      <c r="BD61" s="302"/>
      <c r="BE61" s="302"/>
      <c r="BF61" s="302"/>
      <c r="BG61" s="302"/>
      <c r="BH61" s="302"/>
      <c r="BI61" s="302"/>
      <c r="BJ61" s="302"/>
      <c r="BK61" s="302"/>
      <c r="BL61" s="302"/>
      <c r="BM61" s="302"/>
      <c r="BN61" s="302"/>
      <c r="BO61" s="302"/>
      <c r="BP61" s="302"/>
      <c r="BQ61" s="302"/>
      <c r="BR61" s="302"/>
      <c r="BS61" s="302"/>
      <c r="BT61" s="302"/>
      <c r="BU61" s="302"/>
    </row>
    <row r="62" spans="1:73">
      <c r="A62" s="325"/>
      <c r="B62" s="394"/>
      <c r="C62" s="570"/>
      <c r="D62" s="572"/>
      <c r="E62" s="572"/>
      <c r="F62" s="395">
        <f t="shared" si="74"/>
        <v>0</v>
      </c>
      <c r="G62" s="382"/>
      <c r="H62" s="396">
        <f t="shared" si="75"/>
        <v>1680</v>
      </c>
      <c r="I62" s="396">
        <v>1680</v>
      </c>
      <c r="J62" s="397"/>
      <c r="K62" s="570"/>
      <c r="L62" s="399">
        <f t="shared" si="76"/>
        <v>0</v>
      </c>
      <c r="M62" s="395">
        <f t="shared" si="77"/>
        <v>0</v>
      </c>
      <c r="N62" s="400">
        <f t="shared" si="78"/>
        <v>0</v>
      </c>
      <c r="O62" s="365"/>
      <c r="P62" s="401">
        <f t="shared" si="79"/>
        <v>0</v>
      </c>
      <c r="Q62" s="302"/>
      <c r="R62" s="302"/>
      <c r="S62" s="302"/>
      <c r="T62" s="302"/>
      <c r="U62" s="302"/>
      <c r="V62" s="302"/>
      <c r="W62" s="302"/>
      <c r="X62" s="302"/>
      <c r="Y62" s="302"/>
      <c r="Z62" s="302"/>
      <c r="AA62" s="302"/>
      <c r="AB62" s="302"/>
      <c r="AC62" s="302"/>
      <c r="AD62" s="302"/>
      <c r="AE62" s="302"/>
      <c r="AF62" s="302"/>
      <c r="AG62" s="391">
        <v>0</v>
      </c>
      <c r="AH62" s="392">
        <v>0</v>
      </c>
      <c r="AI62" s="392">
        <v>3890</v>
      </c>
      <c r="AJ62" s="392">
        <v>4345</v>
      </c>
      <c r="AK62" s="392">
        <v>4940</v>
      </c>
      <c r="AL62" s="392">
        <v>4440</v>
      </c>
      <c r="AM62" s="392">
        <v>5403</v>
      </c>
      <c r="AN62" s="392">
        <v>6956</v>
      </c>
      <c r="AO62" s="392">
        <v>8300</v>
      </c>
      <c r="AP62" s="393">
        <v>9030</v>
      </c>
      <c r="AQ62" s="391">
        <f t="shared" si="80"/>
        <v>0</v>
      </c>
      <c r="AR62" s="392">
        <f t="shared" si="81"/>
        <v>0</v>
      </c>
      <c r="AS62" s="392">
        <f t="shared" si="82"/>
        <v>0</v>
      </c>
      <c r="AT62" s="392">
        <f t="shared" si="83"/>
        <v>0</v>
      </c>
      <c r="AU62" s="392">
        <f t="shared" si="84"/>
        <v>0</v>
      </c>
      <c r="AV62" s="392">
        <f t="shared" si="85"/>
        <v>0</v>
      </c>
      <c r="AW62" s="392">
        <f t="shared" si="86"/>
        <v>0</v>
      </c>
      <c r="AX62" s="392">
        <f t="shared" si="87"/>
        <v>0</v>
      </c>
      <c r="AY62" s="392">
        <f t="shared" si="88"/>
        <v>0</v>
      </c>
      <c r="AZ62" s="393">
        <f t="shared" si="89"/>
        <v>0</v>
      </c>
      <c r="BA62" s="302"/>
      <c r="BB62" s="302"/>
      <c r="BC62" s="302"/>
      <c r="BD62" s="302"/>
      <c r="BE62" s="302"/>
      <c r="BF62" s="302"/>
      <c r="BG62" s="302"/>
      <c r="BH62" s="302"/>
      <c r="BI62" s="302"/>
      <c r="BJ62" s="302"/>
      <c r="BK62" s="302"/>
      <c r="BL62" s="302"/>
      <c r="BM62" s="302"/>
      <c r="BN62" s="302"/>
      <c r="BO62" s="302"/>
      <c r="BP62" s="302"/>
      <c r="BQ62" s="302"/>
      <c r="BR62" s="302"/>
      <c r="BS62" s="302"/>
      <c r="BT62" s="302"/>
      <c r="BU62" s="302"/>
    </row>
    <row r="63" spans="1:73">
      <c r="A63" s="325"/>
      <c r="B63" s="394"/>
      <c r="C63" s="570" t="s">
        <v>95</v>
      </c>
      <c r="D63" s="572">
        <v>9.6</v>
      </c>
      <c r="E63" s="572">
        <v>8.3450000000000006</v>
      </c>
      <c r="F63" s="395">
        <f t="shared" si="74"/>
        <v>1.5</v>
      </c>
      <c r="G63" s="382">
        <v>1200</v>
      </c>
      <c r="H63" s="396">
        <f t="shared" si="75"/>
        <v>2060</v>
      </c>
      <c r="I63" s="396">
        <v>1680</v>
      </c>
      <c r="J63" s="397"/>
      <c r="K63" s="570">
        <v>225</v>
      </c>
      <c r="L63" s="399">
        <f t="shared" si="76"/>
        <v>1.6956000000000002</v>
      </c>
      <c r="M63" s="395">
        <f t="shared" si="77"/>
        <v>1.6971428571428571</v>
      </c>
      <c r="N63" s="400">
        <f t="shared" si="78"/>
        <v>2.2628571428571429</v>
      </c>
      <c r="O63" s="365"/>
      <c r="P63" s="401">
        <f t="shared" si="79"/>
        <v>0</v>
      </c>
      <c r="Q63" s="302"/>
      <c r="R63" s="302"/>
      <c r="S63" s="302"/>
      <c r="T63" s="302"/>
      <c r="U63" s="302"/>
      <c r="V63" s="302"/>
      <c r="W63" s="302"/>
      <c r="X63" s="302"/>
      <c r="Y63" s="302"/>
      <c r="Z63" s="302"/>
      <c r="AA63" s="302"/>
      <c r="AB63" s="302"/>
      <c r="AC63" s="302"/>
      <c r="AD63" s="302"/>
      <c r="AE63" s="302"/>
      <c r="AF63" s="302"/>
      <c r="AG63" s="391">
        <v>0</v>
      </c>
      <c r="AH63" s="392">
        <v>0</v>
      </c>
      <c r="AI63" s="392">
        <v>2060</v>
      </c>
      <c r="AJ63" s="392">
        <v>2390</v>
      </c>
      <c r="AK63" s="392">
        <v>2890</v>
      </c>
      <c r="AL63" s="392">
        <v>3385</v>
      </c>
      <c r="AM63" s="392">
        <v>4120</v>
      </c>
      <c r="AN63" s="392">
        <v>6101</v>
      </c>
      <c r="AO63" s="392">
        <v>6820</v>
      </c>
      <c r="AP63" s="393">
        <v>9160</v>
      </c>
      <c r="AQ63" s="391">
        <f t="shared" si="80"/>
        <v>0</v>
      </c>
      <c r="AR63" s="392">
        <f t="shared" si="81"/>
        <v>0</v>
      </c>
      <c r="AS63" s="392">
        <f t="shared" si="82"/>
        <v>2060</v>
      </c>
      <c r="AT63" s="392">
        <f t="shared" si="83"/>
        <v>0</v>
      </c>
      <c r="AU63" s="392">
        <f t="shared" si="84"/>
        <v>0</v>
      </c>
      <c r="AV63" s="392">
        <f t="shared" si="85"/>
        <v>0</v>
      </c>
      <c r="AW63" s="392">
        <f t="shared" si="86"/>
        <v>0</v>
      </c>
      <c r="AX63" s="392">
        <f t="shared" si="87"/>
        <v>0</v>
      </c>
      <c r="AY63" s="392">
        <f t="shared" si="88"/>
        <v>0</v>
      </c>
      <c r="AZ63" s="393">
        <f t="shared" si="89"/>
        <v>0</v>
      </c>
      <c r="BA63" s="302"/>
      <c r="BB63" s="302"/>
      <c r="BC63" s="302"/>
      <c r="BD63" s="302"/>
      <c r="BE63" s="302"/>
      <c r="BF63" s="302"/>
      <c r="BG63" s="302"/>
      <c r="BH63" s="302"/>
      <c r="BI63" s="302"/>
      <c r="BJ63" s="302"/>
      <c r="BK63" s="302"/>
      <c r="BL63" s="302"/>
      <c r="BM63" s="302"/>
      <c r="BN63" s="302"/>
      <c r="BO63" s="302"/>
      <c r="BP63" s="302"/>
      <c r="BQ63" s="302"/>
      <c r="BR63" s="302"/>
      <c r="BS63" s="302"/>
      <c r="BT63" s="302"/>
      <c r="BU63" s="302"/>
    </row>
    <row r="64" spans="1:73">
      <c r="A64" s="325"/>
      <c r="B64" s="394"/>
      <c r="C64" s="570"/>
      <c r="D64" s="572"/>
      <c r="E64" s="572"/>
      <c r="F64" s="395">
        <f t="shared" si="74"/>
        <v>0</v>
      </c>
      <c r="G64" s="382"/>
      <c r="H64" s="396">
        <f t="shared" si="75"/>
        <v>0</v>
      </c>
      <c r="I64" s="396">
        <v>0</v>
      </c>
      <c r="J64" s="397"/>
      <c r="K64" s="570"/>
      <c r="L64" s="399">
        <f t="shared" si="76"/>
        <v>0</v>
      </c>
      <c r="M64" s="395">
        <f t="shared" si="77"/>
        <v>0</v>
      </c>
      <c r="N64" s="400">
        <f t="shared" si="78"/>
        <v>0</v>
      </c>
      <c r="O64" s="365"/>
      <c r="P64" s="401">
        <f t="shared" si="79"/>
        <v>0</v>
      </c>
      <c r="Q64" s="302"/>
      <c r="R64" s="302"/>
      <c r="S64" s="302"/>
      <c r="T64" s="302"/>
      <c r="U64" s="302"/>
      <c r="V64" s="302"/>
      <c r="W64" s="302"/>
      <c r="X64" s="302"/>
      <c r="Y64" s="302"/>
      <c r="Z64" s="302"/>
      <c r="AA64" s="302"/>
      <c r="AB64" s="302"/>
      <c r="AC64" s="302"/>
      <c r="AD64" s="302"/>
      <c r="AE64" s="302"/>
      <c r="AF64" s="302"/>
      <c r="AG64" s="391">
        <v>0</v>
      </c>
      <c r="AH64" s="392">
        <v>0</v>
      </c>
      <c r="AI64" s="392">
        <v>0</v>
      </c>
      <c r="AJ64" s="392">
        <v>0</v>
      </c>
      <c r="AK64" s="392">
        <v>0</v>
      </c>
      <c r="AL64" s="392">
        <v>0</v>
      </c>
      <c r="AM64" s="392">
        <v>0</v>
      </c>
      <c r="AN64" s="392">
        <v>0</v>
      </c>
      <c r="AO64" s="392">
        <v>0</v>
      </c>
      <c r="AP64" s="393">
        <v>0</v>
      </c>
      <c r="AQ64" s="391">
        <f t="shared" si="80"/>
        <v>0</v>
      </c>
      <c r="AR64" s="392">
        <f t="shared" si="81"/>
        <v>0</v>
      </c>
      <c r="AS64" s="392">
        <f t="shared" si="82"/>
        <v>0</v>
      </c>
      <c r="AT64" s="392">
        <f t="shared" si="83"/>
        <v>0</v>
      </c>
      <c r="AU64" s="392">
        <f t="shared" si="84"/>
        <v>0</v>
      </c>
      <c r="AV64" s="392">
        <f t="shared" si="85"/>
        <v>0</v>
      </c>
      <c r="AW64" s="392">
        <f t="shared" si="86"/>
        <v>0</v>
      </c>
      <c r="AX64" s="392">
        <f t="shared" si="87"/>
        <v>0</v>
      </c>
      <c r="AY64" s="392">
        <f t="shared" si="88"/>
        <v>0</v>
      </c>
      <c r="AZ64" s="393">
        <f t="shared" si="89"/>
        <v>0</v>
      </c>
      <c r="BA64" s="302"/>
      <c r="BB64" s="302"/>
      <c r="BC64" s="302"/>
      <c r="BD64" s="302"/>
      <c r="BE64" s="302"/>
      <c r="BF64" s="302"/>
      <c r="BG64" s="302"/>
      <c r="BH64" s="302"/>
      <c r="BI64" s="302"/>
      <c r="BJ64" s="302"/>
      <c r="BK64" s="302"/>
      <c r="BL64" s="302"/>
      <c r="BM64" s="302"/>
      <c r="BN64" s="302"/>
      <c r="BO64" s="302"/>
      <c r="BP64" s="302"/>
      <c r="BQ64" s="302"/>
      <c r="BR64" s="302"/>
      <c r="BS64" s="302"/>
      <c r="BT64" s="302"/>
      <c r="BU64" s="302"/>
    </row>
    <row r="65" spans="1:73">
      <c r="A65" s="325"/>
      <c r="B65" s="394"/>
      <c r="C65" s="570" t="s">
        <v>94</v>
      </c>
      <c r="D65" s="572">
        <v>1.2</v>
      </c>
      <c r="E65" s="572">
        <v>8.6</v>
      </c>
      <c r="F65" s="395">
        <f t="shared" si="74"/>
        <v>-7.25</v>
      </c>
      <c r="G65" s="382">
        <v>1200</v>
      </c>
      <c r="H65" s="396">
        <f t="shared" si="75"/>
        <v>1680</v>
      </c>
      <c r="I65" s="396">
        <v>1680</v>
      </c>
      <c r="J65" s="397"/>
      <c r="K65" s="570">
        <v>225</v>
      </c>
      <c r="L65" s="399">
        <f t="shared" si="76"/>
        <v>-8.1954000000000011</v>
      </c>
      <c r="M65" s="395">
        <f t="shared" si="77"/>
        <v>-8.2028571428571428</v>
      </c>
      <c r="N65" s="400">
        <f t="shared" si="78"/>
        <v>2.2628571428571429</v>
      </c>
      <c r="O65" s="365"/>
      <c r="P65" s="401">
        <f t="shared" si="79"/>
        <v>0</v>
      </c>
      <c r="Q65" s="302"/>
      <c r="R65" s="302"/>
      <c r="S65" s="302"/>
      <c r="T65" s="302"/>
      <c r="U65" s="302"/>
      <c r="V65" s="302"/>
      <c r="W65" s="302"/>
      <c r="X65" s="302"/>
      <c r="Y65" s="302"/>
      <c r="Z65" s="302"/>
      <c r="AA65" s="302"/>
      <c r="AB65" s="302"/>
      <c r="AC65" s="302"/>
      <c r="AD65" s="302"/>
      <c r="AE65" s="302"/>
      <c r="AF65" s="302"/>
      <c r="AG65" s="391">
        <v>0</v>
      </c>
      <c r="AH65" s="392">
        <v>0</v>
      </c>
      <c r="AI65" s="392">
        <v>0</v>
      </c>
      <c r="AJ65" s="392">
        <v>0</v>
      </c>
      <c r="AK65" s="392">
        <v>7225</v>
      </c>
      <c r="AL65" s="392">
        <v>8640</v>
      </c>
      <c r="AM65" s="392">
        <v>10666</v>
      </c>
      <c r="AN65" s="392">
        <v>13147.804648978634</v>
      </c>
      <c r="AO65" s="392">
        <v>14615</v>
      </c>
      <c r="AP65" s="393">
        <v>0</v>
      </c>
      <c r="AQ65" s="391">
        <f t="shared" si="80"/>
        <v>0</v>
      </c>
      <c r="AR65" s="392">
        <f t="shared" si="81"/>
        <v>0</v>
      </c>
      <c r="AS65" s="392">
        <f t="shared" si="82"/>
        <v>0</v>
      </c>
      <c r="AT65" s="392">
        <f t="shared" si="83"/>
        <v>0</v>
      </c>
      <c r="AU65" s="392">
        <f t="shared" si="84"/>
        <v>0</v>
      </c>
      <c r="AV65" s="392">
        <f t="shared" si="85"/>
        <v>0</v>
      </c>
      <c r="AW65" s="392">
        <f t="shared" si="86"/>
        <v>0</v>
      </c>
      <c r="AX65" s="392">
        <f t="shared" si="87"/>
        <v>0</v>
      </c>
      <c r="AY65" s="392">
        <f t="shared" si="88"/>
        <v>0</v>
      </c>
      <c r="AZ65" s="393">
        <f t="shared" si="89"/>
        <v>0</v>
      </c>
      <c r="BA65" s="302"/>
      <c r="BB65" s="302"/>
      <c r="BC65" s="302"/>
      <c r="BD65" s="302"/>
      <c r="BE65" s="302"/>
      <c r="BF65" s="302"/>
      <c r="BG65" s="302"/>
      <c r="BH65" s="302"/>
      <c r="BI65" s="302"/>
      <c r="BJ65" s="302"/>
      <c r="BK65" s="302"/>
      <c r="BL65" s="302"/>
      <c r="BM65" s="302"/>
      <c r="BN65" s="302"/>
      <c r="BO65" s="302"/>
      <c r="BP65" s="302"/>
      <c r="BQ65" s="302"/>
      <c r="BR65" s="302"/>
      <c r="BS65" s="302"/>
      <c r="BT65" s="302"/>
      <c r="BU65" s="302"/>
    </row>
    <row r="66" spans="1:73">
      <c r="A66" s="325"/>
      <c r="B66" s="394"/>
      <c r="C66" s="570" t="s">
        <v>93</v>
      </c>
      <c r="D66" s="572">
        <v>10</v>
      </c>
      <c r="E66" s="572">
        <v>8.1910000000000007</v>
      </c>
      <c r="F66" s="395">
        <f t="shared" si="74"/>
        <v>2</v>
      </c>
      <c r="G66" s="382">
        <v>1500</v>
      </c>
      <c r="H66" s="396">
        <f t="shared" si="75"/>
        <v>7075</v>
      </c>
      <c r="I66" s="396">
        <v>1680</v>
      </c>
      <c r="J66" s="397"/>
      <c r="K66" s="570">
        <v>375</v>
      </c>
      <c r="L66" s="399">
        <f t="shared" si="76"/>
        <v>3.5325000000000002</v>
      </c>
      <c r="M66" s="395">
        <f t="shared" si="77"/>
        <v>3.5357142857142856</v>
      </c>
      <c r="N66" s="400">
        <f t="shared" si="78"/>
        <v>2.2628571428571429</v>
      </c>
      <c r="O66" s="365"/>
      <c r="P66" s="401">
        <f t="shared" si="79"/>
        <v>0</v>
      </c>
      <c r="Q66" s="302"/>
      <c r="R66" s="302"/>
      <c r="S66" s="302"/>
      <c r="T66" s="302"/>
      <c r="U66" s="302"/>
      <c r="V66" s="302"/>
      <c r="W66" s="302"/>
      <c r="X66" s="302"/>
      <c r="Y66" s="302"/>
      <c r="Z66" s="302"/>
      <c r="AA66" s="302"/>
      <c r="AB66" s="302"/>
      <c r="AC66" s="302"/>
      <c r="AD66" s="302"/>
      <c r="AE66" s="302"/>
      <c r="AF66" s="302"/>
      <c r="AG66" s="391">
        <v>0</v>
      </c>
      <c r="AH66" s="392">
        <v>0</v>
      </c>
      <c r="AI66" s="392">
        <v>0</v>
      </c>
      <c r="AJ66" s="392">
        <v>0</v>
      </c>
      <c r="AK66" s="392">
        <v>7075</v>
      </c>
      <c r="AL66" s="392">
        <v>8350</v>
      </c>
      <c r="AM66" s="392">
        <v>10308</v>
      </c>
      <c r="AN66" s="392">
        <v>12706.503874148862</v>
      </c>
      <c r="AO66" s="392">
        <v>13965</v>
      </c>
      <c r="AP66" s="393">
        <v>0</v>
      </c>
      <c r="AQ66" s="391">
        <f t="shared" si="80"/>
        <v>0</v>
      </c>
      <c r="AR66" s="392">
        <f t="shared" si="81"/>
        <v>0</v>
      </c>
      <c r="AS66" s="392">
        <f t="shared" si="82"/>
        <v>0</v>
      </c>
      <c r="AT66" s="392">
        <f t="shared" si="83"/>
        <v>0</v>
      </c>
      <c r="AU66" s="392">
        <f t="shared" si="84"/>
        <v>7075</v>
      </c>
      <c r="AV66" s="392">
        <f t="shared" si="85"/>
        <v>0</v>
      </c>
      <c r="AW66" s="392">
        <f t="shared" si="86"/>
        <v>0</v>
      </c>
      <c r="AX66" s="392">
        <f t="shared" si="87"/>
        <v>0</v>
      </c>
      <c r="AY66" s="392">
        <f t="shared" si="88"/>
        <v>0</v>
      </c>
      <c r="AZ66" s="393">
        <f t="shared" si="89"/>
        <v>0</v>
      </c>
      <c r="BA66" s="302"/>
      <c r="BB66" s="302"/>
      <c r="BC66" s="302"/>
      <c r="BD66" s="302"/>
      <c r="BE66" s="302"/>
      <c r="BF66" s="302"/>
      <c r="BG66" s="302"/>
      <c r="BH66" s="302"/>
      <c r="BI66" s="302"/>
      <c r="BJ66" s="302"/>
      <c r="BK66" s="302"/>
      <c r="BL66" s="302"/>
      <c r="BM66" s="302"/>
      <c r="BN66" s="302"/>
      <c r="BO66" s="302"/>
      <c r="BP66" s="302"/>
      <c r="BQ66" s="302"/>
      <c r="BR66" s="302"/>
      <c r="BS66" s="302"/>
      <c r="BT66" s="302"/>
      <c r="BU66" s="302"/>
    </row>
    <row r="67" spans="1:73">
      <c r="A67" s="325"/>
      <c r="B67" s="394"/>
      <c r="C67" s="570"/>
      <c r="D67" s="572"/>
      <c r="E67" s="572"/>
      <c r="F67" s="395">
        <f t="shared" si="74"/>
        <v>0</v>
      </c>
      <c r="G67" s="382"/>
      <c r="H67" s="396">
        <f t="shared" si="75"/>
        <v>1680</v>
      </c>
      <c r="I67" s="396">
        <v>1680</v>
      </c>
      <c r="J67" s="397"/>
      <c r="K67" s="570"/>
      <c r="L67" s="399">
        <f t="shared" si="76"/>
        <v>0</v>
      </c>
      <c r="M67" s="395">
        <f t="shared" si="77"/>
        <v>0</v>
      </c>
      <c r="N67" s="400">
        <f t="shared" si="78"/>
        <v>0</v>
      </c>
      <c r="O67" s="365"/>
      <c r="P67" s="401">
        <f t="shared" si="79"/>
        <v>0</v>
      </c>
      <c r="Q67" s="302"/>
      <c r="R67" s="302"/>
      <c r="S67" s="302"/>
      <c r="T67" s="302"/>
      <c r="U67" s="302"/>
      <c r="V67" s="302"/>
      <c r="W67" s="302"/>
      <c r="X67" s="302"/>
      <c r="Y67" s="302"/>
      <c r="Z67" s="302"/>
      <c r="AA67" s="302"/>
      <c r="AB67" s="302"/>
      <c r="AC67" s="302"/>
      <c r="AD67" s="302"/>
      <c r="AE67" s="302"/>
      <c r="AF67" s="302"/>
      <c r="AG67" s="391">
        <v>0</v>
      </c>
      <c r="AH67" s="392">
        <v>0</v>
      </c>
      <c r="AI67" s="392">
        <v>5720</v>
      </c>
      <c r="AJ67" s="392">
        <v>7148</v>
      </c>
      <c r="AK67" s="392">
        <v>6725</v>
      </c>
      <c r="AL67" s="392">
        <v>7770</v>
      </c>
      <c r="AM67" s="392">
        <v>9592</v>
      </c>
      <c r="AN67" s="392">
        <v>11823.902324489318</v>
      </c>
      <c r="AO67" s="392">
        <v>12665</v>
      </c>
      <c r="AP67" s="393">
        <v>13665</v>
      </c>
      <c r="AQ67" s="391">
        <f t="shared" si="80"/>
        <v>0</v>
      </c>
      <c r="AR67" s="392">
        <f t="shared" si="81"/>
        <v>0</v>
      </c>
      <c r="AS67" s="392">
        <f t="shared" si="82"/>
        <v>0</v>
      </c>
      <c r="AT67" s="392">
        <f t="shared" si="83"/>
        <v>0</v>
      </c>
      <c r="AU67" s="392">
        <f t="shared" si="84"/>
        <v>0</v>
      </c>
      <c r="AV67" s="392">
        <f t="shared" si="85"/>
        <v>0</v>
      </c>
      <c r="AW67" s="392">
        <f t="shared" si="86"/>
        <v>0</v>
      </c>
      <c r="AX67" s="392">
        <f t="shared" si="87"/>
        <v>0</v>
      </c>
      <c r="AY67" s="392">
        <f t="shared" si="88"/>
        <v>0</v>
      </c>
      <c r="AZ67" s="393">
        <f t="shared" si="89"/>
        <v>0</v>
      </c>
      <c r="BA67" s="302"/>
      <c r="BB67" s="302"/>
      <c r="BC67" s="302"/>
      <c r="BD67" s="302"/>
      <c r="BE67" s="302"/>
      <c r="BF67" s="302"/>
      <c r="BG67" s="302"/>
      <c r="BH67" s="302"/>
      <c r="BI67" s="302"/>
      <c r="BJ67" s="302"/>
      <c r="BK67" s="302"/>
      <c r="BL67" s="302"/>
      <c r="BM67" s="302"/>
      <c r="BN67" s="302"/>
      <c r="BO67" s="302"/>
      <c r="BP67" s="302"/>
      <c r="BQ67" s="302"/>
      <c r="BR67" s="302"/>
      <c r="BS67" s="302"/>
      <c r="BT67" s="302"/>
      <c r="BU67" s="302"/>
    </row>
    <row r="68" spans="1:73">
      <c r="A68" s="325"/>
      <c r="B68" s="394"/>
      <c r="C68" s="570" t="s">
        <v>90</v>
      </c>
      <c r="D68" s="572">
        <v>9.6999999999999993</v>
      </c>
      <c r="E68" s="572">
        <v>7.8849999999999998</v>
      </c>
      <c r="F68" s="395">
        <f t="shared" si="74"/>
        <v>2</v>
      </c>
      <c r="G68" s="382">
        <v>1800</v>
      </c>
      <c r="H68" s="396">
        <f t="shared" si="75"/>
        <v>6610</v>
      </c>
      <c r="I68" s="396">
        <v>1680</v>
      </c>
      <c r="J68" s="397"/>
      <c r="K68" s="570">
        <v>525</v>
      </c>
      <c r="L68" s="399">
        <f t="shared" si="76"/>
        <v>5.0868000000000002</v>
      </c>
      <c r="M68" s="395">
        <f t="shared" si="77"/>
        <v>5.0914285714285716</v>
      </c>
      <c r="N68" s="400">
        <f t="shared" si="78"/>
        <v>2.2628571428571429</v>
      </c>
      <c r="O68" s="365"/>
      <c r="P68" s="401">
        <f t="shared" si="79"/>
        <v>0</v>
      </c>
      <c r="Q68" s="302"/>
      <c r="R68" s="302"/>
      <c r="S68" s="302"/>
      <c r="T68" s="302"/>
      <c r="U68" s="302"/>
      <c r="V68" s="302"/>
      <c r="W68" s="302"/>
      <c r="X68" s="302"/>
      <c r="Y68" s="302"/>
      <c r="Z68" s="302"/>
      <c r="AA68" s="302"/>
      <c r="AB68" s="302"/>
      <c r="AC68" s="302"/>
      <c r="AD68" s="302"/>
      <c r="AE68" s="302"/>
      <c r="AF68" s="302"/>
      <c r="AG68" s="391">
        <v>0</v>
      </c>
      <c r="AH68" s="392">
        <v>0</v>
      </c>
      <c r="AI68" s="392">
        <v>4845</v>
      </c>
      <c r="AJ68" s="392">
        <v>5390</v>
      </c>
      <c r="AK68" s="392">
        <v>5925</v>
      </c>
      <c r="AL68" s="392">
        <v>6610</v>
      </c>
      <c r="AM68" s="392">
        <v>8160</v>
      </c>
      <c r="AN68" s="392">
        <v>9723</v>
      </c>
      <c r="AO68" s="392">
        <v>10065</v>
      </c>
      <c r="AP68" s="393">
        <v>11065</v>
      </c>
      <c r="AQ68" s="391">
        <f t="shared" si="80"/>
        <v>0</v>
      </c>
      <c r="AR68" s="392">
        <f t="shared" si="81"/>
        <v>0</v>
      </c>
      <c r="AS68" s="392">
        <f t="shared" si="82"/>
        <v>0</v>
      </c>
      <c r="AT68" s="392">
        <f t="shared" si="83"/>
        <v>0</v>
      </c>
      <c r="AU68" s="392">
        <f t="shared" si="84"/>
        <v>0</v>
      </c>
      <c r="AV68" s="392">
        <f t="shared" si="85"/>
        <v>6610</v>
      </c>
      <c r="AW68" s="392">
        <f t="shared" si="86"/>
        <v>0</v>
      </c>
      <c r="AX68" s="392">
        <f t="shared" si="87"/>
        <v>0</v>
      </c>
      <c r="AY68" s="392">
        <f t="shared" si="88"/>
        <v>0</v>
      </c>
      <c r="AZ68" s="393">
        <f t="shared" si="89"/>
        <v>0</v>
      </c>
      <c r="BA68" s="302"/>
      <c r="BB68" s="302"/>
      <c r="BC68" s="302"/>
      <c r="BD68" s="302"/>
      <c r="BE68" s="302"/>
      <c r="BF68" s="302"/>
      <c r="BG68" s="302"/>
      <c r="BH68" s="302"/>
      <c r="BI68" s="302"/>
      <c r="BJ68" s="302"/>
      <c r="BK68" s="302"/>
      <c r="BL68" s="302"/>
      <c r="BM68" s="302"/>
      <c r="BN68" s="302"/>
      <c r="BO68" s="302"/>
      <c r="BP68" s="302"/>
      <c r="BQ68" s="302"/>
      <c r="BR68" s="302"/>
      <c r="BS68" s="302"/>
      <c r="BT68" s="302"/>
      <c r="BU68" s="302"/>
    </row>
    <row r="69" spans="1:73">
      <c r="A69" s="325"/>
      <c r="B69" s="394">
        <v>1</v>
      </c>
      <c r="C69" s="570"/>
      <c r="D69" s="572"/>
      <c r="E69" s="572"/>
      <c r="F69" s="395">
        <f t="shared" si="74"/>
        <v>0</v>
      </c>
      <c r="G69" s="382"/>
      <c r="H69" s="396">
        <f t="shared" si="75"/>
        <v>1680</v>
      </c>
      <c r="I69" s="396">
        <v>1680</v>
      </c>
      <c r="J69" s="397"/>
      <c r="K69" s="570"/>
      <c r="L69" s="399">
        <f t="shared" si="76"/>
        <v>0</v>
      </c>
      <c r="M69" s="395">
        <f t="shared" si="77"/>
        <v>0</v>
      </c>
      <c r="N69" s="400">
        <f t="shared" si="78"/>
        <v>0</v>
      </c>
      <c r="O69" s="365"/>
      <c r="P69" s="401">
        <f t="shared" si="79"/>
        <v>0</v>
      </c>
      <c r="Q69" s="302"/>
      <c r="R69" s="302"/>
      <c r="S69" s="302"/>
      <c r="T69" s="302"/>
      <c r="U69" s="302"/>
      <c r="V69" s="302"/>
      <c r="W69" s="302"/>
      <c r="X69" s="302"/>
      <c r="Y69" s="302"/>
      <c r="Z69" s="302"/>
      <c r="AA69" s="302"/>
      <c r="AB69" s="302"/>
      <c r="AC69" s="302"/>
      <c r="AD69" s="302"/>
      <c r="AE69" s="302"/>
      <c r="AF69" s="302"/>
      <c r="AG69" s="391">
        <v>0</v>
      </c>
      <c r="AH69" s="392">
        <v>0</v>
      </c>
      <c r="AI69" s="392">
        <v>2485</v>
      </c>
      <c r="AJ69" s="392">
        <v>2690</v>
      </c>
      <c r="AK69" s="392">
        <v>3505</v>
      </c>
      <c r="AL69" s="392">
        <v>4335</v>
      </c>
      <c r="AM69" s="392">
        <v>5276</v>
      </c>
      <c r="AN69" s="392">
        <v>6700</v>
      </c>
      <c r="AO69" s="392">
        <v>8015</v>
      </c>
      <c r="AP69" s="393">
        <v>8745</v>
      </c>
      <c r="AQ69" s="391">
        <f t="shared" si="80"/>
        <v>0</v>
      </c>
      <c r="AR69" s="392">
        <f t="shared" si="81"/>
        <v>0</v>
      </c>
      <c r="AS69" s="392">
        <f t="shared" si="82"/>
        <v>0</v>
      </c>
      <c r="AT69" s="392">
        <f t="shared" si="83"/>
        <v>0</v>
      </c>
      <c r="AU69" s="392">
        <f t="shared" si="84"/>
        <v>0</v>
      </c>
      <c r="AV69" s="392">
        <f t="shared" si="85"/>
        <v>0</v>
      </c>
      <c r="AW69" s="392">
        <f t="shared" si="86"/>
        <v>0</v>
      </c>
      <c r="AX69" s="392">
        <f t="shared" si="87"/>
        <v>0</v>
      </c>
      <c r="AY69" s="392">
        <f t="shared" si="88"/>
        <v>0</v>
      </c>
      <c r="AZ69" s="393">
        <f t="shared" si="89"/>
        <v>0</v>
      </c>
      <c r="BA69" s="302"/>
      <c r="BB69" s="302"/>
      <c r="BC69" s="302"/>
      <c r="BD69" s="302"/>
      <c r="BE69" s="302"/>
      <c r="BF69" s="302"/>
      <c r="BG69" s="302"/>
      <c r="BH69" s="302"/>
      <c r="BI69" s="302"/>
      <c r="BJ69" s="302"/>
      <c r="BK69" s="302"/>
      <c r="BL69" s="302"/>
      <c r="BM69" s="302"/>
      <c r="BN69" s="302"/>
      <c r="BO69" s="302"/>
      <c r="BP69" s="302"/>
      <c r="BQ69" s="302"/>
      <c r="BR69" s="302"/>
      <c r="BS69" s="302"/>
      <c r="BT69" s="302"/>
      <c r="BU69" s="302"/>
    </row>
    <row r="70" spans="1:73">
      <c r="A70" s="325"/>
      <c r="B70" s="394"/>
      <c r="C70" s="570" t="s">
        <v>218</v>
      </c>
      <c r="D70" s="572">
        <v>9.4</v>
      </c>
      <c r="E70" s="572">
        <v>8.0139999999999993</v>
      </c>
      <c r="F70" s="395">
        <f t="shared" si="74"/>
        <v>1.5</v>
      </c>
      <c r="G70" s="382">
        <v>1200</v>
      </c>
      <c r="H70" s="396">
        <f t="shared" si="75"/>
        <v>1680</v>
      </c>
      <c r="I70" s="396">
        <v>1680</v>
      </c>
      <c r="J70" s="397"/>
      <c r="K70" s="570">
        <v>300</v>
      </c>
      <c r="L70" s="399">
        <f t="shared" si="76"/>
        <v>1.6956000000000002</v>
      </c>
      <c r="M70" s="395">
        <f t="shared" si="77"/>
        <v>1.6971428571428571</v>
      </c>
      <c r="N70" s="400">
        <f t="shared" si="78"/>
        <v>2.2628571428571429</v>
      </c>
      <c r="O70" s="365"/>
      <c r="P70" s="401">
        <f t="shared" si="79"/>
        <v>0</v>
      </c>
      <c r="Q70" s="302"/>
      <c r="R70" s="302"/>
      <c r="S70" s="302"/>
      <c r="T70" s="302"/>
      <c r="U70" s="302"/>
      <c r="V70" s="302"/>
      <c r="W70" s="302"/>
      <c r="X70" s="302"/>
      <c r="Y70" s="302"/>
      <c r="Z70" s="302"/>
      <c r="AA70" s="302"/>
      <c r="AB70" s="302"/>
      <c r="AC70" s="302"/>
      <c r="AD70" s="302"/>
      <c r="AE70" s="302"/>
      <c r="AF70" s="302"/>
      <c r="AG70" s="391">
        <v>0</v>
      </c>
      <c r="AH70" s="392">
        <v>0</v>
      </c>
      <c r="AI70" s="392">
        <v>0</v>
      </c>
      <c r="AJ70" s="392">
        <v>0</v>
      </c>
      <c r="AK70" s="392">
        <v>7525</v>
      </c>
      <c r="AL70" s="392">
        <v>9220</v>
      </c>
      <c r="AM70" s="392">
        <v>11382</v>
      </c>
      <c r="AN70" s="392">
        <v>14030.406198638178</v>
      </c>
      <c r="AO70" s="392">
        <v>15915</v>
      </c>
      <c r="AP70" s="393">
        <v>0</v>
      </c>
      <c r="AQ70" s="391">
        <f t="shared" si="80"/>
        <v>0</v>
      </c>
      <c r="AR70" s="392">
        <f t="shared" si="81"/>
        <v>0</v>
      </c>
      <c r="AS70" s="392">
        <f t="shared" si="82"/>
        <v>0</v>
      </c>
      <c r="AT70" s="392">
        <f t="shared" si="83"/>
        <v>0</v>
      </c>
      <c r="AU70" s="392">
        <f t="shared" si="84"/>
        <v>0</v>
      </c>
      <c r="AV70" s="392">
        <f t="shared" si="85"/>
        <v>0</v>
      </c>
      <c r="AW70" s="392">
        <f t="shared" si="86"/>
        <v>0</v>
      </c>
      <c r="AX70" s="392">
        <f t="shared" si="87"/>
        <v>0</v>
      </c>
      <c r="AY70" s="392">
        <f t="shared" si="88"/>
        <v>0</v>
      </c>
      <c r="AZ70" s="393">
        <f t="shared" si="89"/>
        <v>0</v>
      </c>
      <c r="BA70" s="302"/>
      <c r="BB70" s="302"/>
      <c r="BC70" s="302"/>
      <c r="BD70" s="302"/>
      <c r="BE70" s="302"/>
      <c r="BF70" s="302"/>
      <c r="BG70" s="302"/>
      <c r="BH70" s="302"/>
      <c r="BI70" s="302"/>
      <c r="BJ70" s="302"/>
      <c r="BK70" s="302"/>
      <c r="BL70" s="302"/>
      <c r="BM70" s="302"/>
      <c r="BN70" s="302"/>
      <c r="BO70" s="302"/>
      <c r="BP70" s="302"/>
      <c r="BQ70" s="302"/>
      <c r="BR70" s="302"/>
      <c r="BS70" s="302"/>
      <c r="BT70" s="302"/>
      <c r="BU70" s="302"/>
    </row>
    <row r="71" spans="1:73">
      <c r="A71" s="325"/>
      <c r="B71" s="394"/>
      <c r="C71" s="570" t="s">
        <v>204</v>
      </c>
      <c r="D71" s="572">
        <v>9.5</v>
      </c>
      <c r="E71" s="572">
        <v>7.6980000000000004</v>
      </c>
      <c r="F71" s="395">
        <f t="shared" si="74"/>
        <v>2</v>
      </c>
      <c r="G71" s="382">
        <v>1200</v>
      </c>
      <c r="H71" s="396">
        <f t="shared" si="75"/>
        <v>1680</v>
      </c>
      <c r="I71" s="396">
        <v>1680</v>
      </c>
      <c r="J71" s="397"/>
      <c r="K71" s="570">
        <v>300</v>
      </c>
      <c r="L71" s="399">
        <f t="shared" si="76"/>
        <v>2.2608000000000001</v>
      </c>
      <c r="M71" s="395">
        <f t="shared" si="77"/>
        <v>2.2628571428571429</v>
      </c>
      <c r="N71" s="400">
        <f t="shared" si="78"/>
        <v>2.2628571428571429</v>
      </c>
      <c r="O71" s="365"/>
      <c r="P71" s="401">
        <f t="shared" si="79"/>
        <v>0</v>
      </c>
      <c r="Q71" s="302"/>
      <c r="R71" s="302"/>
      <c r="S71" s="302"/>
      <c r="T71" s="302"/>
      <c r="U71" s="302"/>
      <c r="V71" s="302"/>
      <c r="W71" s="302"/>
      <c r="X71" s="302"/>
      <c r="Y71" s="302"/>
      <c r="Z71" s="302"/>
      <c r="AA71" s="302"/>
      <c r="AB71" s="302"/>
      <c r="AC71" s="302"/>
      <c r="AD71" s="302"/>
      <c r="AE71" s="302"/>
      <c r="AF71" s="302"/>
      <c r="AG71" s="391">
        <v>0</v>
      </c>
      <c r="AH71" s="392">
        <v>0</v>
      </c>
      <c r="AI71" s="392">
        <v>0</v>
      </c>
      <c r="AJ71" s="392">
        <v>0</v>
      </c>
      <c r="AK71" s="392">
        <v>7075</v>
      </c>
      <c r="AL71" s="392">
        <v>8350</v>
      </c>
      <c r="AM71" s="392">
        <v>10308</v>
      </c>
      <c r="AN71" s="392">
        <v>12706.503874148862</v>
      </c>
      <c r="AO71" s="392">
        <v>13965</v>
      </c>
      <c r="AP71" s="393">
        <v>0</v>
      </c>
      <c r="AQ71" s="391">
        <f t="shared" si="80"/>
        <v>0</v>
      </c>
      <c r="AR71" s="392">
        <f t="shared" si="81"/>
        <v>0</v>
      </c>
      <c r="AS71" s="392">
        <f t="shared" si="82"/>
        <v>0</v>
      </c>
      <c r="AT71" s="392">
        <f t="shared" si="83"/>
        <v>0</v>
      </c>
      <c r="AU71" s="392">
        <f t="shared" si="84"/>
        <v>0</v>
      </c>
      <c r="AV71" s="392">
        <f t="shared" si="85"/>
        <v>0</v>
      </c>
      <c r="AW71" s="392">
        <f t="shared" si="86"/>
        <v>0</v>
      </c>
      <c r="AX71" s="392">
        <f t="shared" si="87"/>
        <v>0</v>
      </c>
      <c r="AY71" s="392">
        <f t="shared" si="88"/>
        <v>0</v>
      </c>
      <c r="AZ71" s="393">
        <f t="shared" si="89"/>
        <v>0</v>
      </c>
      <c r="BA71" s="302"/>
      <c r="BB71" s="302"/>
      <c r="BC71" s="302"/>
      <c r="BD71" s="302"/>
      <c r="BE71" s="302"/>
      <c r="BF71" s="302"/>
      <c r="BG71" s="302"/>
      <c r="BH71" s="302"/>
      <c r="BI71" s="302"/>
      <c r="BJ71" s="302"/>
      <c r="BK71" s="302"/>
      <c r="BL71" s="302"/>
      <c r="BM71" s="302"/>
      <c r="BN71" s="302"/>
      <c r="BO71" s="302"/>
      <c r="BP71" s="302"/>
      <c r="BQ71" s="302"/>
      <c r="BR71" s="302"/>
      <c r="BS71" s="302"/>
      <c r="BT71" s="302"/>
      <c r="BU71" s="302"/>
    </row>
    <row r="72" spans="1:73">
      <c r="A72" s="325"/>
      <c r="B72" s="394"/>
      <c r="C72" s="570" t="s">
        <v>98</v>
      </c>
      <c r="D72" s="572">
        <v>9.5</v>
      </c>
      <c r="E72" s="572">
        <v>7.6349999999999998</v>
      </c>
      <c r="F72" s="395">
        <f t="shared" si="74"/>
        <v>2</v>
      </c>
      <c r="G72" s="382">
        <v>1200</v>
      </c>
      <c r="H72" s="396">
        <f t="shared" si="75"/>
        <v>2060</v>
      </c>
      <c r="I72" s="396">
        <v>1680</v>
      </c>
      <c r="J72" s="397"/>
      <c r="K72" s="570">
        <v>300</v>
      </c>
      <c r="L72" s="399">
        <f t="shared" si="76"/>
        <v>2.2608000000000001</v>
      </c>
      <c r="M72" s="395">
        <f t="shared" si="77"/>
        <v>2.2628571428571429</v>
      </c>
      <c r="N72" s="400">
        <f t="shared" si="78"/>
        <v>2.2628571428571429</v>
      </c>
      <c r="O72" s="365"/>
      <c r="P72" s="401">
        <f t="shared" si="79"/>
        <v>0</v>
      </c>
      <c r="Q72" s="302"/>
      <c r="R72" s="302"/>
      <c r="S72" s="302"/>
      <c r="T72" s="302"/>
      <c r="U72" s="302"/>
      <c r="V72" s="302"/>
      <c r="W72" s="302"/>
      <c r="X72" s="302"/>
      <c r="Y72" s="302"/>
      <c r="Z72" s="302"/>
      <c r="AA72" s="302"/>
      <c r="AB72" s="302"/>
      <c r="AC72" s="302"/>
      <c r="AD72" s="302"/>
      <c r="AE72" s="302"/>
      <c r="AF72" s="302"/>
      <c r="AG72" s="391">
        <v>0</v>
      </c>
      <c r="AH72" s="392">
        <v>0</v>
      </c>
      <c r="AI72" s="392">
        <v>2060</v>
      </c>
      <c r="AJ72" s="392">
        <v>2390</v>
      </c>
      <c r="AK72" s="392">
        <v>2890</v>
      </c>
      <c r="AL72" s="392">
        <v>3385</v>
      </c>
      <c r="AM72" s="392">
        <v>4120</v>
      </c>
      <c r="AN72" s="392">
        <v>6101</v>
      </c>
      <c r="AO72" s="392">
        <v>6820</v>
      </c>
      <c r="AP72" s="393">
        <v>9160</v>
      </c>
      <c r="AQ72" s="391">
        <f t="shared" si="80"/>
        <v>0</v>
      </c>
      <c r="AR72" s="392">
        <f t="shared" si="81"/>
        <v>0</v>
      </c>
      <c r="AS72" s="392">
        <f t="shared" si="82"/>
        <v>2060</v>
      </c>
      <c r="AT72" s="392">
        <f t="shared" si="83"/>
        <v>0</v>
      </c>
      <c r="AU72" s="392">
        <f t="shared" si="84"/>
        <v>0</v>
      </c>
      <c r="AV72" s="392">
        <f t="shared" si="85"/>
        <v>0</v>
      </c>
      <c r="AW72" s="392">
        <f t="shared" si="86"/>
        <v>0</v>
      </c>
      <c r="AX72" s="392">
        <f t="shared" si="87"/>
        <v>0</v>
      </c>
      <c r="AY72" s="392">
        <f t="shared" si="88"/>
        <v>0</v>
      </c>
      <c r="AZ72" s="393">
        <f t="shared" si="89"/>
        <v>0</v>
      </c>
      <c r="BA72" s="302"/>
      <c r="BB72" s="302"/>
      <c r="BC72" s="302"/>
      <c r="BD72" s="302"/>
      <c r="BE72" s="302"/>
      <c r="BF72" s="302"/>
      <c r="BG72" s="302"/>
      <c r="BH72" s="302"/>
      <c r="BI72" s="302"/>
      <c r="BJ72" s="302"/>
      <c r="BK72" s="302"/>
      <c r="BL72" s="302"/>
      <c r="BM72" s="302"/>
      <c r="BN72" s="302"/>
      <c r="BO72" s="302"/>
      <c r="BP72" s="302"/>
      <c r="BQ72" s="302"/>
      <c r="BR72" s="302"/>
      <c r="BS72" s="302"/>
      <c r="BT72" s="302"/>
      <c r="BU72" s="302"/>
    </row>
    <row r="73" spans="1:73">
      <c r="A73" s="325"/>
      <c r="B73" s="394"/>
      <c r="C73" s="570"/>
      <c r="D73" s="572"/>
      <c r="E73" s="572"/>
      <c r="F73" s="395">
        <f t="shared" si="74"/>
        <v>0</v>
      </c>
      <c r="G73" s="382"/>
      <c r="H73" s="396">
        <f t="shared" si="75"/>
        <v>0</v>
      </c>
      <c r="I73" s="396">
        <v>0</v>
      </c>
      <c r="J73" s="397"/>
      <c r="K73" s="570"/>
      <c r="L73" s="399">
        <f t="shared" si="76"/>
        <v>0</v>
      </c>
      <c r="M73" s="395">
        <f t="shared" si="77"/>
        <v>0</v>
      </c>
      <c r="N73" s="400">
        <f t="shared" si="78"/>
        <v>0</v>
      </c>
      <c r="O73" s="365"/>
      <c r="P73" s="401">
        <f t="shared" si="79"/>
        <v>0</v>
      </c>
      <c r="Q73" s="302"/>
      <c r="R73" s="302"/>
      <c r="S73" s="302"/>
      <c r="T73" s="302"/>
      <c r="U73" s="302"/>
      <c r="V73" s="302"/>
      <c r="W73" s="302"/>
      <c r="X73" s="302"/>
      <c r="Y73" s="302"/>
      <c r="Z73" s="302"/>
      <c r="AA73" s="302"/>
      <c r="AB73" s="302"/>
      <c r="AC73" s="302"/>
      <c r="AD73" s="302"/>
      <c r="AE73" s="302"/>
      <c r="AF73" s="302"/>
      <c r="AG73" s="391">
        <v>0</v>
      </c>
      <c r="AH73" s="392">
        <v>0</v>
      </c>
      <c r="AI73" s="392">
        <v>0</v>
      </c>
      <c r="AJ73" s="392">
        <v>0</v>
      </c>
      <c r="AK73" s="392">
        <v>0</v>
      </c>
      <c r="AL73" s="392">
        <v>0</v>
      </c>
      <c r="AM73" s="392">
        <v>0</v>
      </c>
      <c r="AN73" s="392">
        <v>0</v>
      </c>
      <c r="AO73" s="392">
        <v>0</v>
      </c>
      <c r="AP73" s="393">
        <v>0</v>
      </c>
      <c r="AQ73" s="391">
        <f t="shared" si="80"/>
        <v>0</v>
      </c>
      <c r="AR73" s="392">
        <f t="shared" si="81"/>
        <v>0</v>
      </c>
      <c r="AS73" s="392">
        <f t="shared" si="82"/>
        <v>0</v>
      </c>
      <c r="AT73" s="392">
        <f t="shared" si="83"/>
        <v>0</v>
      </c>
      <c r="AU73" s="392">
        <f t="shared" si="84"/>
        <v>0</v>
      </c>
      <c r="AV73" s="392">
        <f t="shared" si="85"/>
        <v>0</v>
      </c>
      <c r="AW73" s="392">
        <f t="shared" si="86"/>
        <v>0</v>
      </c>
      <c r="AX73" s="392">
        <f t="shared" si="87"/>
        <v>0</v>
      </c>
      <c r="AY73" s="392">
        <f t="shared" si="88"/>
        <v>0</v>
      </c>
      <c r="AZ73" s="393">
        <f t="shared" si="89"/>
        <v>0</v>
      </c>
      <c r="BA73" s="302"/>
      <c r="BB73" s="302"/>
      <c r="BC73" s="302"/>
      <c r="BD73" s="302"/>
      <c r="BE73" s="302"/>
      <c r="BF73" s="302"/>
      <c r="BG73" s="302"/>
      <c r="BH73" s="302"/>
      <c r="BI73" s="302"/>
      <c r="BJ73" s="302"/>
      <c r="BK73" s="302"/>
      <c r="BL73" s="302"/>
      <c r="BM73" s="302"/>
      <c r="BN73" s="302"/>
      <c r="BO73" s="302"/>
      <c r="BP73" s="302"/>
      <c r="BQ73" s="302"/>
      <c r="BR73" s="302"/>
      <c r="BS73" s="302"/>
      <c r="BT73" s="302"/>
      <c r="BU73" s="302"/>
    </row>
    <row r="74" spans="1:73">
      <c r="A74" s="325"/>
      <c r="B74" s="394"/>
      <c r="C74" s="570" t="s">
        <v>99</v>
      </c>
      <c r="D74" s="572">
        <v>9.1</v>
      </c>
      <c r="E74" s="572">
        <v>7.484</v>
      </c>
      <c r="F74" s="395">
        <f t="shared" si="74"/>
        <v>1.75</v>
      </c>
      <c r="G74" s="382">
        <v>1200</v>
      </c>
      <c r="H74" s="396">
        <f t="shared" si="75"/>
        <v>0</v>
      </c>
      <c r="I74" s="396">
        <v>0</v>
      </c>
      <c r="J74" s="397"/>
      <c r="K74" s="570">
        <v>225</v>
      </c>
      <c r="L74" s="399">
        <f t="shared" si="76"/>
        <v>1.9782000000000002</v>
      </c>
      <c r="M74" s="395">
        <f t="shared" si="77"/>
        <v>1.98</v>
      </c>
      <c r="N74" s="400">
        <f t="shared" si="78"/>
        <v>2.2628571428571429</v>
      </c>
      <c r="O74" s="365"/>
      <c r="P74" s="401">
        <f t="shared" si="79"/>
        <v>0</v>
      </c>
      <c r="Q74" s="302"/>
      <c r="R74" s="302"/>
      <c r="S74" s="302"/>
      <c r="T74" s="302"/>
      <c r="U74" s="302"/>
      <c r="V74" s="302"/>
      <c r="W74" s="302"/>
      <c r="X74" s="302"/>
      <c r="Y74" s="302"/>
      <c r="Z74" s="302"/>
      <c r="AA74" s="302"/>
      <c r="AB74" s="302"/>
      <c r="AC74" s="302"/>
      <c r="AD74" s="302"/>
      <c r="AE74" s="302"/>
      <c r="AF74" s="302"/>
      <c r="AG74" s="391">
        <v>0</v>
      </c>
      <c r="AH74" s="392">
        <v>0</v>
      </c>
      <c r="AI74" s="392">
        <v>0</v>
      </c>
      <c r="AJ74" s="392">
        <v>0</v>
      </c>
      <c r="AK74" s="392">
        <v>0</v>
      </c>
      <c r="AL74" s="392">
        <v>0</v>
      </c>
      <c r="AM74" s="392">
        <v>0</v>
      </c>
      <c r="AN74" s="392">
        <v>0</v>
      </c>
      <c r="AO74" s="392">
        <v>0</v>
      </c>
      <c r="AP74" s="393">
        <v>0</v>
      </c>
      <c r="AQ74" s="391">
        <f t="shared" si="80"/>
        <v>0</v>
      </c>
      <c r="AR74" s="392">
        <f t="shared" si="81"/>
        <v>0</v>
      </c>
      <c r="AS74" s="392">
        <f t="shared" si="82"/>
        <v>0</v>
      </c>
      <c r="AT74" s="392">
        <f t="shared" si="83"/>
        <v>0</v>
      </c>
      <c r="AU74" s="392">
        <f t="shared" si="84"/>
        <v>0</v>
      </c>
      <c r="AV74" s="392">
        <f t="shared" si="85"/>
        <v>0</v>
      </c>
      <c r="AW74" s="392">
        <f t="shared" si="86"/>
        <v>0</v>
      </c>
      <c r="AX74" s="392">
        <f t="shared" si="87"/>
        <v>0</v>
      </c>
      <c r="AY74" s="392">
        <f t="shared" si="88"/>
        <v>0</v>
      </c>
      <c r="AZ74" s="393">
        <f t="shared" si="89"/>
        <v>0</v>
      </c>
      <c r="BA74" s="302"/>
      <c r="BB74" s="302"/>
      <c r="BC74" s="302"/>
      <c r="BD74" s="302"/>
      <c r="BE74" s="302"/>
      <c r="BF74" s="302"/>
      <c r="BG74" s="302"/>
      <c r="BH74" s="302"/>
      <c r="BI74" s="302"/>
      <c r="BJ74" s="302"/>
      <c r="BK74" s="302"/>
      <c r="BL74" s="302"/>
      <c r="BM74" s="302"/>
      <c r="BN74" s="302"/>
      <c r="BO74" s="302"/>
      <c r="BP74" s="302"/>
      <c r="BQ74" s="302"/>
      <c r="BR74" s="302"/>
      <c r="BS74" s="302"/>
      <c r="BT74" s="302"/>
      <c r="BU74" s="302"/>
    </row>
    <row r="75" spans="1:73">
      <c r="A75" s="325"/>
      <c r="B75" s="394"/>
      <c r="C75" s="570" t="s">
        <v>102</v>
      </c>
      <c r="D75" s="572">
        <v>8.6</v>
      </c>
      <c r="E75" s="572">
        <v>7.4749999999999996</v>
      </c>
      <c r="F75" s="395">
        <f t="shared" si="74"/>
        <v>1.25</v>
      </c>
      <c r="G75" s="382">
        <v>1200</v>
      </c>
      <c r="H75" s="396">
        <f t="shared" si="75"/>
        <v>0</v>
      </c>
      <c r="I75" s="396">
        <v>0</v>
      </c>
      <c r="J75" s="397"/>
      <c r="K75" s="570">
        <v>225</v>
      </c>
      <c r="L75" s="399">
        <f t="shared" si="76"/>
        <v>1.413</v>
      </c>
      <c r="M75" s="395">
        <f t="shared" si="77"/>
        <v>1.4142857142857144</v>
      </c>
      <c r="N75" s="400">
        <f t="shared" si="78"/>
        <v>2.2628571428571429</v>
      </c>
      <c r="O75" s="365"/>
      <c r="P75" s="401">
        <f t="shared" si="79"/>
        <v>0</v>
      </c>
      <c r="Q75" s="302"/>
      <c r="R75" s="302"/>
      <c r="S75" s="302"/>
      <c r="T75" s="302"/>
      <c r="U75" s="302"/>
      <c r="V75" s="302"/>
      <c r="W75" s="302"/>
      <c r="X75" s="302"/>
      <c r="Y75" s="302"/>
      <c r="Z75" s="302"/>
      <c r="AA75" s="302"/>
      <c r="AB75" s="302"/>
      <c r="AC75" s="302"/>
      <c r="AD75" s="302"/>
      <c r="AE75" s="302"/>
      <c r="AF75" s="302"/>
      <c r="AG75" s="391">
        <v>0</v>
      </c>
      <c r="AH75" s="392">
        <v>0</v>
      </c>
      <c r="AI75" s="392">
        <v>0</v>
      </c>
      <c r="AJ75" s="392">
        <v>0</v>
      </c>
      <c r="AK75" s="392">
        <v>0</v>
      </c>
      <c r="AL75" s="392">
        <v>0</v>
      </c>
      <c r="AM75" s="392">
        <v>0</v>
      </c>
      <c r="AN75" s="392">
        <v>0</v>
      </c>
      <c r="AO75" s="392">
        <v>0</v>
      </c>
      <c r="AP75" s="393">
        <v>0</v>
      </c>
      <c r="AQ75" s="391">
        <f t="shared" si="80"/>
        <v>0</v>
      </c>
      <c r="AR75" s="392">
        <f t="shared" si="81"/>
        <v>0</v>
      </c>
      <c r="AS75" s="392">
        <f t="shared" si="82"/>
        <v>0</v>
      </c>
      <c r="AT75" s="392">
        <f t="shared" si="83"/>
        <v>0</v>
      </c>
      <c r="AU75" s="392">
        <f t="shared" si="84"/>
        <v>0</v>
      </c>
      <c r="AV75" s="392">
        <f t="shared" si="85"/>
        <v>0</v>
      </c>
      <c r="AW75" s="392">
        <f t="shared" si="86"/>
        <v>0</v>
      </c>
      <c r="AX75" s="392">
        <f t="shared" si="87"/>
        <v>0</v>
      </c>
      <c r="AY75" s="392">
        <f t="shared" si="88"/>
        <v>0</v>
      </c>
      <c r="AZ75" s="393">
        <f t="shared" si="89"/>
        <v>0</v>
      </c>
      <c r="BA75" s="302"/>
      <c r="BB75" s="302"/>
      <c r="BC75" s="302"/>
      <c r="BD75" s="302"/>
      <c r="BE75" s="302"/>
      <c r="BF75" s="302"/>
      <c r="BG75" s="302"/>
      <c r="BH75" s="302"/>
      <c r="BI75" s="302"/>
      <c r="BJ75" s="302"/>
      <c r="BK75" s="302"/>
      <c r="BL75" s="302"/>
      <c r="BM75" s="302"/>
      <c r="BN75" s="302"/>
      <c r="BO75" s="302"/>
      <c r="BP75" s="302"/>
      <c r="BQ75" s="302"/>
      <c r="BR75" s="302"/>
      <c r="BS75" s="302"/>
      <c r="BT75" s="302"/>
      <c r="BU75" s="302"/>
    </row>
    <row r="76" spans="1:73">
      <c r="A76" s="325"/>
      <c r="B76" s="394"/>
      <c r="C76" s="570" t="s">
        <v>219</v>
      </c>
      <c r="D76" s="572">
        <v>9.1</v>
      </c>
      <c r="E76" s="572">
        <v>7.3449999999999998</v>
      </c>
      <c r="F76" s="395">
        <f t="shared" si="74"/>
        <v>2</v>
      </c>
      <c r="G76" s="382">
        <v>1200</v>
      </c>
      <c r="H76" s="396">
        <f t="shared" si="75"/>
        <v>0</v>
      </c>
      <c r="I76" s="396">
        <v>0</v>
      </c>
      <c r="J76" s="397"/>
      <c r="K76" s="570">
        <v>300</v>
      </c>
      <c r="L76" s="399">
        <f t="shared" si="76"/>
        <v>2.2608000000000001</v>
      </c>
      <c r="M76" s="395">
        <f t="shared" si="77"/>
        <v>2.2628571428571429</v>
      </c>
      <c r="N76" s="400">
        <f t="shared" si="78"/>
        <v>2.2628571428571429</v>
      </c>
      <c r="O76" s="365"/>
      <c r="P76" s="401">
        <f t="shared" si="79"/>
        <v>0</v>
      </c>
      <c r="Q76" s="302"/>
      <c r="R76" s="302"/>
      <c r="S76" s="302"/>
      <c r="T76" s="302"/>
      <c r="U76" s="302"/>
      <c r="V76" s="302"/>
      <c r="W76" s="302"/>
      <c r="X76" s="302"/>
      <c r="Y76" s="302"/>
      <c r="Z76" s="302"/>
      <c r="AA76" s="302"/>
      <c r="AB76" s="302"/>
      <c r="AC76" s="302"/>
      <c r="AD76" s="302"/>
      <c r="AE76" s="302"/>
      <c r="AF76" s="302"/>
      <c r="AG76" s="391">
        <v>0</v>
      </c>
      <c r="AH76" s="392">
        <v>0</v>
      </c>
      <c r="AI76" s="392">
        <v>0</v>
      </c>
      <c r="AJ76" s="392">
        <v>0</v>
      </c>
      <c r="AK76" s="392">
        <v>0</v>
      </c>
      <c r="AL76" s="392">
        <v>0</v>
      </c>
      <c r="AM76" s="392">
        <v>0</v>
      </c>
      <c r="AN76" s="392">
        <v>0</v>
      </c>
      <c r="AO76" s="392">
        <v>0</v>
      </c>
      <c r="AP76" s="393">
        <v>0</v>
      </c>
      <c r="AQ76" s="391">
        <f t="shared" si="80"/>
        <v>0</v>
      </c>
      <c r="AR76" s="392">
        <f t="shared" si="81"/>
        <v>0</v>
      </c>
      <c r="AS76" s="392">
        <f t="shared" si="82"/>
        <v>0</v>
      </c>
      <c r="AT76" s="392">
        <f t="shared" si="83"/>
        <v>0</v>
      </c>
      <c r="AU76" s="392">
        <f t="shared" si="84"/>
        <v>0</v>
      </c>
      <c r="AV76" s="392">
        <f t="shared" si="85"/>
        <v>0</v>
      </c>
      <c r="AW76" s="392">
        <f t="shared" si="86"/>
        <v>0</v>
      </c>
      <c r="AX76" s="392">
        <f t="shared" si="87"/>
        <v>0</v>
      </c>
      <c r="AY76" s="392">
        <f t="shared" si="88"/>
        <v>0</v>
      </c>
      <c r="AZ76" s="393">
        <f t="shared" si="89"/>
        <v>0</v>
      </c>
      <c r="BA76" s="302"/>
      <c r="BB76" s="302"/>
      <c r="BC76" s="302"/>
      <c r="BD76" s="302"/>
      <c r="BE76" s="302"/>
      <c r="BF76" s="302"/>
      <c r="BG76" s="302"/>
      <c r="BH76" s="302"/>
      <c r="BI76" s="302"/>
      <c r="BJ76" s="302"/>
      <c r="BK76" s="302"/>
      <c r="BL76" s="302"/>
      <c r="BM76" s="302"/>
      <c r="BN76" s="302"/>
      <c r="BO76" s="302"/>
      <c r="BP76" s="302"/>
      <c r="BQ76" s="302"/>
      <c r="BR76" s="302"/>
      <c r="BS76" s="302"/>
      <c r="BT76" s="302"/>
      <c r="BU76" s="302"/>
    </row>
    <row r="77" spans="1:73">
      <c r="A77" s="325"/>
      <c r="B77" s="394"/>
      <c r="C77" s="570"/>
      <c r="D77" s="572"/>
      <c r="E77" s="572"/>
      <c r="F77" s="395">
        <f t="shared" si="74"/>
        <v>0</v>
      </c>
      <c r="G77" s="382"/>
      <c r="H77" s="396">
        <f t="shared" si="75"/>
        <v>0</v>
      </c>
      <c r="I77" s="396">
        <v>0</v>
      </c>
      <c r="J77" s="397"/>
      <c r="K77" s="570"/>
      <c r="L77" s="399">
        <f t="shared" si="76"/>
        <v>0</v>
      </c>
      <c r="M77" s="395">
        <f t="shared" si="77"/>
        <v>0</v>
      </c>
      <c r="N77" s="400">
        <f t="shared" si="78"/>
        <v>0</v>
      </c>
      <c r="O77" s="365"/>
      <c r="P77" s="401">
        <f t="shared" si="79"/>
        <v>0</v>
      </c>
      <c r="Q77" s="302"/>
      <c r="R77" s="302"/>
      <c r="S77" s="302"/>
      <c r="T77" s="302"/>
      <c r="U77" s="302"/>
      <c r="V77" s="302"/>
      <c r="W77" s="302"/>
      <c r="X77" s="302"/>
      <c r="Y77" s="302"/>
      <c r="Z77" s="302"/>
      <c r="AA77" s="302"/>
      <c r="AB77" s="302"/>
      <c r="AC77" s="302"/>
      <c r="AD77" s="302"/>
      <c r="AE77" s="302"/>
      <c r="AF77" s="302"/>
      <c r="AG77" s="391">
        <v>0</v>
      </c>
      <c r="AH77" s="392">
        <v>0</v>
      </c>
      <c r="AI77" s="392">
        <v>0</v>
      </c>
      <c r="AJ77" s="392">
        <v>0</v>
      </c>
      <c r="AK77" s="392">
        <v>0</v>
      </c>
      <c r="AL77" s="392">
        <v>0</v>
      </c>
      <c r="AM77" s="392">
        <v>0</v>
      </c>
      <c r="AN77" s="392">
        <v>0</v>
      </c>
      <c r="AO77" s="392">
        <v>0</v>
      </c>
      <c r="AP77" s="393">
        <v>0</v>
      </c>
      <c r="AQ77" s="391">
        <f t="shared" si="80"/>
        <v>0</v>
      </c>
      <c r="AR77" s="392">
        <f t="shared" si="81"/>
        <v>0</v>
      </c>
      <c r="AS77" s="392">
        <f t="shared" si="82"/>
        <v>0</v>
      </c>
      <c r="AT77" s="392">
        <f t="shared" si="83"/>
        <v>0</v>
      </c>
      <c r="AU77" s="392">
        <f t="shared" si="84"/>
        <v>0</v>
      </c>
      <c r="AV77" s="392">
        <f t="shared" si="85"/>
        <v>0</v>
      </c>
      <c r="AW77" s="392">
        <f t="shared" si="86"/>
        <v>0</v>
      </c>
      <c r="AX77" s="392">
        <f t="shared" si="87"/>
        <v>0</v>
      </c>
      <c r="AY77" s="392">
        <f t="shared" si="88"/>
        <v>0</v>
      </c>
      <c r="AZ77" s="393">
        <f t="shared" si="89"/>
        <v>0</v>
      </c>
      <c r="BA77" s="302"/>
      <c r="BB77" s="302"/>
      <c r="BC77" s="302"/>
      <c r="BD77" s="302"/>
      <c r="BE77" s="302"/>
      <c r="BF77" s="302"/>
      <c r="BG77" s="302"/>
      <c r="BH77" s="302"/>
      <c r="BI77" s="302"/>
      <c r="BJ77" s="302"/>
      <c r="BK77" s="302"/>
      <c r="BL77" s="302"/>
      <c r="BM77" s="302"/>
      <c r="BN77" s="302"/>
      <c r="BO77" s="302"/>
      <c r="BP77" s="302"/>
      <c r="BQ77" s="302"/>
      <c r="BR77" s="302"/>
      <c r="BS77" s="302"/>
      <c r="BT77" s="302"/>
      <c r="BU77" s="302"/>
    </row>
    <row r="78" spans="1:73">
      <c r="A78" s="325"/>
      <c r="B78" s="394"/>
      <c r="C78" s="570" t="s">
        <v>516</v>
      </c>
      <c r="D78" s="572">
        <v>8.5</v>
      </c>
      <c r="E78" s="572">
        <v>6.7</v>
      </c>
      <c r="F78" s="395">
        <f t="shared" si="74"/>
        <v>2</v>
      </c>
      <c r="G78" s="382">
        <v>2100</v>
      </c>
      <c r="H78" s="396">
        <f t="shared" si="75"/>
        <v>0</v>
      </c>
      <c r="I78" s="396">
        <v>0</v>
      </c>
      <c r="J78" s="397"/>
      <c r="K78" s="570">
        <v>900</v>
      </c>
      <c r="L78" s="399">
        <f t="shared" si="76"/>
        <v>6.9237000000000002</v>
      </c>
      <c r="M78" s="395">
        <f t="shared" si="77"/>
        <v>6.9300000000000006</v>
      </c>
      <c r="N78" s="400">
        <f t="shared" si="78"/>
        <v>2.2628571428571429</v>
      </c>
      <c r="O78" s="365"/>
      <c r="P78" s="401">
        <f t="shared" si="79"/>
        <v>0</v>
      </c>
      <c r="Q78" s="302"/>
      <c r="R78" s="302"/>
      <c r="S78" s="302"/>
      <c r="T78" s="302"/>
      <c r="U78" s="302"/>
      <c r="V78" s="302"/>
      <c r="W78" s="302"/>
      <c r="X78" s="302"/>
      <c r="Y78" s="302"/>
      <c r="Z78" s="302"/>
      <c r="AA78" s="302"/>
      <c r="AB78" s="302"/>
      <c r="AC78" s="302"/>
      <c r="AD78" s="302"/>
      <c r="AE78" s="302"/>
      <c r="AF78" s="302"/>
      <c r="AG78" s="391">
        <v>0</v>
      </c>
      <c r="AH78" s="392">
        <v>0</v>
      </c>
      <c r="AI78" s="392">
        <v>0</v>
      </c>
      <c r="AJ78" s="392">
        <v>0</v>
      </c>
      <c r="AK78" s="392">
        <v>0</v>
      </c>
      <c r="AL78" s="392">
        <v>0</v>
      </c>
      <c r="AM78" s="392">
        <v>0</v>
      </c>
      <c r="AN78" s="392">
        <v>0</v>
      </c>
      <c r="AO78" s="392">
        <v>0</v>
      </c>
      <c r="AP78" s="393">
        <v>0</v>
      </c>
      <c r="AQ78" s="391">
        <f t="shared" si="80"/>
        <v>0</v>
      </c>
      <c r="AR78" s="392">
        <f t="shared" si="81"/>
        <v>0</v>
      </c>
      <c r="AS78" s="392">
        <f t="shared" si="82"/>
        <v>0</v>
      </c>
      <c r="AT78" s="392">
        <f t="shared" si="83"/>
        <v>0</v>
      </c>
      <c r="AU78" s="392">
        <f t="shared" si="84"/>
        <v>0</v>
      </c>
      <c r="AV78" s="392">
        <f t="shared" si="85"/>
        <v>0</v>
      </c>
      <c r="AW78" s="392">
        <f t="shared" si="86"/>
        <v>0</v>
      </c>
      <c r="AX78" s="392">
        <f t="shared" si="87"/>
        <v>0</v>
      </c>
      <c r="AY78" s="392">
        <f t="shared" si="88"/>
        <v>0</v>
      </c>
      <c r="AZ78" s="393">
        <f t="shared" si="89"/>
        <v>0</v>
      </c>
      <c r="BA78" s="302"/>
      <c r="BB78" s="302"/>
      <c r="BC78" s="302"/>
      <c r="BD78" s="302"/>
      <c r="BE78" s="302"/>
      <c r="BF78" s="302"/>
      <c r="BG78" s="302"/>
      <c r="BH78" s="302"/>
      <c r="BI78" s="302"/>
      <c r="BJ78" s="302"/>
      <c r="BK78" s="302"/>
      <c r="BL78" s="302"/>
      <c r="BM78" s="302"/>
      <c r="BN78" s="302"/>
      <c r="BO78" s="302"/>
      <c r="BP78" s="302"/>
      <c r="BQ78" s="302"/>
      <c r="BR78" s="302"/>
      <c r="BS78" s="302"/>
      <c r="BT78" s="302"/>
      <c r="BU78" s="302"/>
    </row>
    <row r="79" spans="1:73">
      <c r="A79" s="325"/>
      <c r="B79" s="394"/>
      <c r="C79" s="570" t="s">
        <v>515</v>
      </c>
      <c r="D79" s="572">
        <v>8.5</v>
      </c>
      <c r="E79" s="572">
        <v>6.6689999999999996</v>
      </c>
      <c r="F79" s="395">
        <f t="shared" si="74"/>
        <v>2</v>
      </c>
      <c r="G79" s="382">
        <v>2700</v>
      </c>
      <c r="H79" s="396">
        <f t="shared" si="75"/>
        <v>0</v>
      </c>
      <c r="I79" s="396">
        <v>0</v>
      </c>
      <c r="J79" s="397"/>
      <c r="K79" s="570">
        <v>300</v>
      </c>
      <c r="L79" s="399">
        <f t="shared" si="76"/>
        <v>11.445300000000001</v>
      </c>
      <c r="M79" s="395">
        <f t="shared" si="77"/>
        <v>11.455714285714286</v>
      </c>
      <c r="N79" s="400">
        <f t="shared" si="78"/>
        <v>2.2628571428571429</v>
      </c>
      <c r="O79" s="365"/>
      <c r="P79" s="401">
        <f t="shared" si="79"/>
        <v>0</v>
      </c>
      <c r="Q79" s="302"/>
      <c r="R79" s="302"/>
      <c r="S79" s="302"/>
      <c r="T79" s="302"/>
      <c r="U79" s="302"/>
      <c r="V79" s="302"/>
      <c r="W79" s="302"/>
      <c r="X79" s="302"/>
      <c r="Y79" s="302"/>
      <c r="Z79" s="302"/>
      <c r="AA79" s="302"/>
      <c r="AB79" s="302"/>
      <c r="AC79" s="302"/>
      <c r="AD79" s="302"/>
      <c r="AE79" s="302"/>
      <c r="AF79" s="302"/>
      <c r="AG79" s="391">
        <v>0</v>
      </c>
      <c r="AH79" s="392">
        <v>0</v>
      </c>
      <c r="AI79" s="392">
        <v>0</v>
      </c>
      <c r="AJ79" s="392">
        <v>0</v>
      </c>
      <c r="AK79" s="392">
        <v>0</v>
      </c>
      <c r="AL79" s="392">
        <v>0</v>
      </c>
      <c r="AM79" s="392">
        <v>0</v>
      </c>
      <c r="AN79" s="392">
        <v>0</v>
      </c>
      <c r="AO79" s="392">
        <v>0</v>
      </c>
      <c r="AP79" s="393">
        <v>0</v>
      </c>
      <c r="AQ79" s="391">
        <f t="shared" si="80"/>
        <v>0</v>
      </c>
      <c r="AR79" s="392">
        <f t="shared" si="81"/>
        <v>0</v>
      </c>
      <c r="AS79" s="392">
        <f t="shared" si="82"/>
        <v>0</v>
      </c>
      <c r="AT79" s="392">
        <f t="shared" si="83"/>
        <v>0</v>
      </c>
      <c r="AU79" s="392">
        <f t="shared" si="84"/>
        <v>0</v>
      </c>
      <c r="AV79" s="392">
        <f t="shared" si="85"/>
        <v>0</v>
      </c>
      <c r="AW79" s="392">
        <f t="shared" si="86"/>
        <v>0</v>
      </c>
      <c r="AX79" s="392">
        <f t="shared" si="87"/>
        <v>0</v>
      </c>
      <c r="AY79" s="392">
        <f t="shared" si="88"/>
        <v>0</v>
      </c>
      <c r="AZ79" s="393">
        <f t="shared" si="89"/>
        <v>0</v>
      </c>
      <c r="BA79" s="302"/>
      <c r="BB79" s="302"/>
      <c r="BC79" s="302"/>
      <c r="BD79" s="302"/>
      <c r="BE79" s="302"/>
      <c r="BF79" s="302"/>
      <c r="BG79" s="302"/>
      <c r="BH79" s="302"/>
      <c r="BI79" s="302"/>
      <c r="BJ79" s="302"/>
      <c r="BK79" s="302"/>
      <c r="BL79" s="302"/>
      <c r="BM79" s="302"/>
      <c r="BN79" s="302"/>
      <c r="BO79" s="302"/>
      <c r="BP79" s="302"/>
      <c r="BQ79" s="302"/>
      <c r="BR79" s="302"/>
      <c r="BS79" s="302"/>
      <c r="BT79" s="302"/>
      <c r="BU79" s="302"/>
    </row>
    <row r="80" spans="1:73">
      <c r="A80" s="325"/>
      <c r="B80" s="394"/>
      <c r="C80" s="570" t="s">
        <v>80</v>
      </c>
      <c r="D80" s="572">
        <v>8</v>
      </c>
      <c r="E80" s="572">
        <v>6.2359999999999998</v>
      </c>
      <c r="F80" s="395">
        <f t="shared" si="74"/>
        <v>2</v>
      </c>
      <c r="G80" s="382">
        <v>1200</v>
      </c>
      <c r="H80" s="396">
        <f t="shared" si="75"/>
        <v>0</v>
      </c>
      <c r="I80" s="396">
        <v>0</v>
      </c>
      <c r="J80" s="397"/>
      <c r="K80" s="570">
        <v>300</v>
      </c>
      <c r="L80" s="399">
        <f t="shared" si="76"/>
        <v>2.2608000000000001</v>
      </c>
      <c r="M80" s="395">
        <f t="shared" si="77"/>
        <v>2.2628571428571429</v>
      </c>
      <c r="N80" s="400">
        <f t="shared" si="78"/>
        <v>2.2628571428571429</v>
      </c>
      <c r="O80" s="365"/>
      <c r="P80" s="401">
        <f t="shared" si="79"/>
        <v>0</v>
      </c>
      <c r="Q80" s="302"/>
      <c r="R80" s="302"/>
      <c r="S80" s="302"/>
      <c r="T80" s="302"/>
      <c r="U80" s="302"/>
      <c r="V80" s="302"/>
      <c r="W80" s="302"/>
      <c r="X80" s="302"/>
      <c r="Y80" s="302"/>
      <c r="Z80" s="302"/>
      <c r="AA80" s="302"/>
      <c r="AB80" s="302"/>
      <c r="AC80" s="302"/>
      <c r="AD80" s="302"/>
      <c r="AE80" s="302"/>
      <c r="AF80" s="302"/>
      <c r="AG80" s="391">
        <v>0</v>
      </c>
      <c r="AH80" s="392">
        <v>0</v>
      </c>
      <c r="AI80" s="392">
        <v>0</v>
      </c>
      <c r="AJ80" s="392">
        <v>0</v>
      </c>
      <c r="AK80" s="392">
        <v>0</v>
      </c>
      <c r="AL80" s="392">
        <v>0</v>
      </c>
      <c r="AM80" s="392">
        <v>0</v>
      </c>
      <c r="AN80" s="392">
        <v>0</v>
      </c>
      <c r="AO80" s="392">
        <v>0</v>
      </c>
      <c r="AP80" s="393">
        <v>0</v>
      </c>
      <c r="AQ80" s="391">
        <f t="shared" si="80"/>
        <v>0</v>
      </c>
      <c r="AR80" s="392">
        <f t="shared" si="81"/>
        <v>0</v>
      </c>
      <c r="AS80" s="392">
        <f t="shared" si="82"/>
        <v>0</v>
      </c>
      <c r="AT80" s="392">
        <f t="shared" si="83"/>
        <v>0</v>
      </c>
      <c r="AU80" s="392">
        <f t="shared" si="84"/>
        <v>0</v>
      </c>
      <c r="AV80" s="392">
        <f t="shared" si="85"/>
        <v>0</v>
      </c>
      <c r="AW80" s="392">
        <f t="shared" si="86"/>
        <v>0</v>
      </c>
      <c r="AX80" s="392">
        <f t="shared" si="87"/>
        <v>0</v>
      </c>
      <c r="AY80" s="392">
        <f t="shared" si="88"/>
        <v>0</v>
      </c>
      <c r="AZ80" s="393">
        <f t="shared" si="89"/>
        <v>0</v>
      </c>
      <c r="BA80" s="302"/>
      <c r="BB80" s="302"/>
      <c r="BC80" s="302"/>
      <c r="BD80" s="302"/>
      <c r="BE80" s="302"/>
      <c r="BF80" s="302"/>
      <c r="BG80" s="302"/>
      <c r="BH80" s="302"/>
      <c r="BI80" s="302"/>
      <c r="BJ80" s="302"/>
      <c r="BK80" s="302"/>
      <c r="BL80" s="302"/>
      <c r="BM80" s="302"/>
      <c r="BN80" s="302"/>
      <c r="BO80" s="302"/>
      <c r="BP80" s="302"/>
      <c r="BQ80" s="302"/>
      <c r="BR80" s="302"/>
      <c r="BS80" s="302"/>
      <c r="BT80" s="302"/>
      <c r="BU80" s="302"/>
    </row>
    <row r="81" spans="1:73">
      <c r="A81" s="325"/>
      <c r="B81" s="394"/>
      <c r="C81" s="570" t="s">
        <v>362</v>
      </c>
      <c r="D81" s="572">
        <v>7.5</v>
      </c>
      <c r="E81" s="572">
        <v>6.1059999999999999</v>
      </c>
      <c r="F81" s="395">
        <f t="shared" si="74"/>
        <v>1.5</v>
      </c>
      <c r="G81" s="382">
        <v>1200</v>
      </c>
      <c r="H81" s="396">
        <f t="shared" si="75"/>
        <v>0</v>
      </c>
      <c r="I81" s="396">
        <v>0</v>
      </c>
      <c r="J81" s="397"/>
      <c r="K81" s="570">
        <v>300</v>
      </c>
      <c r="L81" s="399">
        <f t="shared" si="76"/>
        <v>1.6956000000000002</v>
      </c>
      <c r="M81" s="395">
        <f t="shared" si="77"/>
        <v>1.6971428571428571</v>
      </c>
      <c r="N81" s="400">
        <f t="shared" si="78"/>
        <v>2.2628571428571429</v>
      </c>
      <c r="O81" s="365"/>
      <c r="P81" s="401">
        <f t="shared" si="79"/>
        <v>0</v>
      </c>
      <c r="Q81" s="302"/>
      <c r="R81" s="302"/>
      <c r="S81" s="302"/>
      <c r="T81" s="302"/>
      <c r="U81" s="302"/>
      <c r="V81" s="302"/>
      <c r="W81" s="302"/>
      <c r="X81" s="302"/>
      <c r="Y81" s="302"/>
      <c r="Z81" s="302"/>
      <c r="AA81" s="302"/>
      <c r="AB81" s="302"/>
      <c r="AC81" s="302"/>
      <c r="AD81" s="302"/>
      <c r="AE81" s="302"/>
      <c r="AF81" s="302"/>
      <c r="AG81" s="391">
        <v>0</v>
      </c>
      <c r="AH81" s="392">
        <v>0</v>
      </c>
      <c r="AI81" s="392">
        <v>0</v>
      </c>
      <c r="AJ81" s="392">
        <v>0</v>
      </c>
      <c r="AK81" s="392">
        <v>0</v>
      </c>
      <c r="AL81" s="392">
        <v>0</v>
      </c>
      <c r="AM81" s="392">
        <v>0</v>
      </c>
      <c r="AN81" s="392">
        <v>0</v>
      </c>
      <c r="AO81" s="392">
        <v>0</v>
      </c>
      <c r="AP81" s="393">
        <v>0</v>
      </c>
      <c r="AQ81" s="391">
        <f t="shared" si="80"/>
        <v>0</v>
      </c>
      <c r="AR81" s="392">
        <f t="shared" si="81"/>
        <v>0</v>
      </c>
      <c r="AS81" s="392">
        <f t="shared" si="82"/>
        <v>0</v>
      </c>
      <c r="AT81" s="392">
        <f t="shared" si="83"/>
        <v>0</v>
      </c>
      <c r="AU81" s="392">
        <f t="shared" si="84"/>
        <v>0</v>
      </c>
      <c r="AV81" s="392">
        <f t="shared" si="85"/>
        <v>0</v>
      </c>
      <c r="AW81" s="392">
        <f t="shared" si="86"/>
        <v>0</v>
      </c>
      <c r="AX81" s="392">
        <f t="shared" si="87"/>
        <v>0</v>
      </c>
      <c r="AY81" s="392">
        <f t="shared" si="88"/>
        <v>0</v>
      </c>
      <c r="AZ81" s="393">
        <f t="shared" si="89"/>
        <v>0</v>
      </c>
      <c r="BA81" s="302"/>
      <c r="BB81" s="302"/>
      <c r="BC81" s="302"/>
      <c r="BD81" s="302"/>
      <c r="BE81" s="302"/>
      <c r="BF81" s="302"/>
      <c r="BG81" s="302"/>
      <c r="BH81" s="302"/>
      <c r="BI81" s="302"/>
      <c r="BJ81" s="302"/>
      <c r="BK81" s="302"/>
      <c r="BL81" s="302"/>
      <c r="BM81" s="302"/>
      <c r="BN81" s="302"/>
      <c r="BO81" s="302"/>
      <c r="BP81" s="302"/>
      <c r="BQ81" s="302"/>
      <c r="BR81" s="302"/>
      <c r="BS81" s="302"/>
      <c r="BT81" s="302"/>
      <c r="BU81" s="302"/>
    </row>
    <row r="82" spans="1:73">
      <c r="A82" s="325"/>
      <c r="B82" s="394"/>
      <c r="C82" s="570" t="s">
        <v>209</v>
      </c>
      <c r="D82" s="572">
        <v>7.5</v>
      </c>
      <c r="E82" s="572">
        <v>6.0279999999999996</v>
      </c>
      <c r="F82" s="395">
        <f t="shared" si="74"/>
        <v>1.5</v>
      </c>
      <c r="G82" s="382">
        <v>1200</v>
      </c>
      <c r="H82" s="396">
        <f t="shared" si="75"/>
        <v>0</v>
      </c>
      <c r="I82" s="396">
        <v>0</v>
      </c>
      <c r="J82" s="397"/>
      <c r="K82" s="570">
        <v>300</v>
      </c>
      <c r="L82" s="399">
        <f t="shared" si="76"/>
        <v>1.6956000000000002</v>
      </c>
      <c r="M82" s="395">
        <f t="shared" si="77"/>
        <v>1.6971428571428571</v>
      </c>
      <c r="N82" s="400">
        <f t="shared" si="78"/>
        <v>2.2628571428571429</v>
      </c>
      <c r="O82" s="365"/>
      <c r="P82" s="401">
        <f t="shared" si="79"/>
        <v>0</v>
      </c>
      <c r="Q82" s="302"/>
      <c r="R82" s="302"/>
      <c r="S82" s="302"/>
      <c r="T82" s="302"/>
      <c r="U82" s="302"/>
      <c r="V82" s="302"/>
      <c r="W82" s="302"/>
      <c r="X82" s="302"/>
      <c r="Y82" s="302"/>
      <c r="Z82" s="302"/>
      <c r="AA82" s="302"/>
      <c r="AB82" s="302"/>
      <c r="AC82" s="302"/>
      <c r="AD82" s="302"/>
      <c r="AE82" s="302"/>
      <c r="AF82" s="302"/>
      <c r="AG82" s="391">
        <v>0</v>
      </c>
      <c r="AH82" s="392">
        <v>0</v>
      </c>
      <c r="AI82" s="392">
        <v>0</v>
      </c>
      <c r="AJ82" s="392">
        <v>0</v>
      </c>
      <c r="AK82" s="392">
        <v>0</v>
      </c>
      <c r="AL82" s="392">
        <v>0</v>
      </c>
      <c r="AM82" s="392">
        <v>0</v>
      </c>
      <c r="AN82" s="392">
        <v>0</v>
      </c>
      <c r="AO82" s="392">
        <v>0</v>
      </c>
      <c r="AP82" s="393">
        <v>0</v>
      </c>
      <c r="AQ82" s="391">
        <f t="shared" si="80"/>
        <v>0</v>
      </c>
      <c r="AR82" s="392">
        <f t="shared" si="81"/>
        <v>0</v>
      </c>
      <c r="AS82" s="392">
        <f t="shared" si="82"/>
        <v>0</v>
      </c>
      <c r="AT82" s="392">
        <f t="shared" si="83"/>
        <v>0</v>
      </c>
      <c r="AU82" s="392">
        <f t="shared" si="84"/>
        <v>0</v>
      </c>
      <c r="AV82" s="392">
        <f t="shared" si="85"/>
        <v>0</v>
      </c>
      <c r="AW82" s="392">
        <f t="shared" si="86"/>
        <v>0</v>
      </c>
      <c r="AX82" s="392">
        <f t="shared" si="87"/>
        <v>0</v>
      </c>
      <c r="AY82" s="392">
        <f t="shared" si="88"/>
        <v>0</v>
      </c>
      <c r="AZ82" s="393">
        <f t="shared" si="89"/>
        <v>0</v>
      </c>
      <c r="BA82" s="302"/>
      <c r="BB82" s="302"/>
      <c r="BC82" s="302"/>
      <c r="BD82" s="302"/>
      <c r="BE82" s="302"/>
      <c r="BF82" s="302"/>
      <c r="BG82" s="302"/>
      <c r="BH82" s="302"/>
      <c r="BI82" s="302"/>
      <c r="BJ82" s="302"/>
      <c r="BK82" s="302"/>
      <c r="BL82" s="302"/>
      <c r="BM82" s="302"/>
      <c r="BN82" s="302"/>
      <c r="BO82" s="302"/>
      <c r="BP82" s="302"/>
      <c r="BQ82" s="302"/>
      <c r="BR82" s="302"/>
      <c r="BS82" s="302"/>
      <c r="BT82" s="302"/>
      <c r="BU82" s="302"/>
    </row>
    <row r="83" spans="1:73">
      <c r="A83" s="325"/>
      <c r="B83" s="394"/>
      <c r="C83" s="570" t="s">
        <v>210</v>
      </c>
      <c r="D83" s="572">
        <v>7.5</v>
      </c>
      <c r="E83" s="572">
        <v>5.8810000000000002</v>
      </c>
      <c r="F83" s="395">
        <f t="shared" si="74"/>
        <v>1.75</v>
      </c>
      <c r="G83" s="382">
        <v>1200</v>
      </c>
      <c r="H83" s="396">
        <f t="shared" si="75"/>
        <v>0</v>
      </c>
      <c r="I83" s="396">
        <v>0</v>
      </c>
      <c r="J83" s="397"/>
      <c r="K83" s="570">
        <v>300</v>
      </c>
      <c r="L83" s="399">
        <f t="shared" si="76"/>
        <v>1.9782000000000002</v>
      </c>
      <c r="M83" s="395">
        <f t="shared" si="77"/>
        <v>1.98</v>
      </c>
      <c r="N83" s="400">
        <f t="shared" si="78"/>
        <v>2.2628571428571429</v>
      </c>
      <c r="O83" s="365"/>
      <c r="P83" s="401">
        <f t="shared" si="79"/>
        <v>0</v>
      </c>
      <c r="Q83" s="302"/>
      <c r="R83" s="302"/>
      <c r="S83" s="302"/>
      <c r="T83" s="302"/>
      <c r="U83" s="302"/>
      <c r="V83" s="302"/>
      <c r="W83" s="302"/>
      <c r="X83" s="302"/>
      <c r="Y83" s="302"/>
      <c r="Z83" s="302"/>
      <c r="AA83" s="302"/>
      <c r="AB83" s="302"/>
      <c r="AC83" s="302"/>
      <c r="AD83" s="302"/>
      <c r="AE83" s="302"/>
      <c r="AF83" s="302"/>
      <c r="AG83" s="391">
        <v>0</v>
      </c>
      <c r="AH83" s="392">
        <v>0</v>
      </c>
      <c r="AI83" s="392">
        <v>0</v>
      </c>
      <c r="AJ83" s="392">
        <v>0</v>
      </c>
      <c r="AK83" s="392">
        <v>0</v>
      </c>
      <c r="AL83" s="392">
        <v>0</v>
      </c>
      <c r="AM83" s="392">
        <v>0</v>
      </c>
      <c r="AN83" s="392">
        <v>0</v>
      </c>
      <c r="AO83" s="392">
        <v>0</v>
      </c>
      <c r="AP83" s="393">
        <v>0</v>
      </c>
      <c r="AQ83" s="391">
        <f t="shared" si="80"/>
        <v>0</v>
      </c>
      <c r="AR83" s="392">
        <f t="shared" si="81"/>
        <v>0</v>
      </c>
      <c r="AS83" s="392">
        <f t="shared" si="82"/>
        <v>0</v>
      </c>
      <c r="AT83" s="392">
        <f t="shared" si="83"/>
        <v>0</v>
      </c>
      <c r="AU83" s="392">
        <f t="shared" si="84"/>
        <v>0</v>
      </c>
      <c r="AV83" s="392">
        <f t="shared" si="85"/>
        <v>0</v>
      </c>
      <c r="AW83" s="392">
        <f t="shared" si="86"/>
        <v>0</v>
      </c>
      <c r="AX83" s="392">
        <f t="shared" si="87"/>
        <v>0</v>
      </c>
      <c r="AY83" s="392">
        <f t="shared" si="88"/>
        <v>0</v>
      </c>
      <c r="AZ83" s="393">
        <f t="shared" si="89"/>
        <v>0</v>
      </c>
      <c r="BA83" s="302"/>
      <c r="BB83" s="302"/>
      <c r="BC83" s="302"/>
      <c r="BD83" s="302"/>
      <c r="BE83" s="302"/>
      <c r="BF83" s="302"/>
      <c r="BG83" s="302"/>
      <c r="BH83" s="302"/>
      <c r="BI83" s="302"/>
      <c r="BJ83" s="302"/>
      <c r="BK83" s="302"/>
      <c r="BL83" s="302"/>
      <c r="BM83" s="302"/>
      <c r="BN83" s="302"/>
      <c r="BO83" s="302"/>
      <c r="BP83" s="302"/>
      <c r="BQ83" s="302"/>
      <c r="BR83" s="302"/>
      <c r="BS83" s="302"/>
      <c r="BT83" s="302"/>
      <c r="BU83" s="302"/>
    </row>
    <row r="84" spans="1:73">
      <c r="A84" s="325"/>
      <c r="B84" s="394"/>
      <c r="C84" s="570"/>
      <c r="D84" s="572"/>
      <c r="E84" s="572"/>
      <c r="F84" s="395">
        <f t="shared" si="74"/>
        <v>0</v>
      </c>
      <c r="G84" s="382"/>
      <c r="H84" s="396">
        <f t="shared" si="75"/>
        <v>0</v>
      </c>
      <c r="I84" s="396">
        <v>0</v>
      </c>
      <c r="J84" s="397"/>
      <c r="K84" s="570"/>
      <c r="L84" s="399">
        <f t="shared" si="76"/>
        <v>0</v>
      </c>
      <c r="M84" s="395">
        <f t="shared" si="77"/>
        <v>0</v>
      </c>
      <c r="N84" s="400">
        <f t="shared" si="78"/>
        <v>0</v>
      </c>
      <c r="O84" s="365"/>
      <c r="P84" s="401">
        <f t="shared" si="79"/>
        <v>0</v>
      </c>
      <c r="Q84" s="302"/>
      <c r="R84" s="302"/>
      <c r="S84" s="302"/>
      <c r="T84" s="302"/>
      <c r="U84" s="302"/>
      <c r="V84" s="302"/>
      <c r="W84" s="302"/>
      <c r="X84" s="302"/>
      <c r="Y84" s="302"/>
      <c r="Z84" s="302"/>
      <c r="AA84" s="302"/>
      <c r="AB84" s="302"/>
      <c r="AC84" s="302"/>
      <c r="AD84" s="302"/>
      <c r="AE84" s="302"/>
      <c r="AF84" s="302"/>
      <c r="AG84" s="391">
        <v>0</v>
      </c>
      <c r="AH84" s="392">
        <v>0</v>
      </c>
      <c r="AI84" s="392">
        <v>0</v>
      </c>
      <c r="AJ84" s="392">
        <v>0</v>
      </c>
      <c r="AK84" s="392">
        <v>0</v>
      </c>
      <c r="AL84" s="392">
        <v>0</v>
      </c>
      <c r="AM84" s="392">
        <v>0</v>
      </c>
      <c r="AN84" s="392">
        <v>0</v>
      </c>
      <c r="AO84" s="392">
        <v>0</v>
      </c>
      <c r="AP84" s="393">
        <v>0</v>
      </c>
      <c r="AQ84" s="391">
        <f t="shared" si="80"/>
        <v>0</v>
      </c>
      <c r="AR84" s="392">
        <f t="shared" si="81"/>
        <v>0</v>
      </c>
      <c r="AS84" s="392">
        <f t="shared" si="82"/>
        <v>0</v>
      </c>
      <c r="AT84" s="392">
        <f t="shared" si="83"/>
        <v>0</v>
      </c>
      <c r="AU84" s="392">
        <f t="shared" si="84"/>
        <v>0</v>
      </c>
      <c r="AV84" s="392">
        <f t="shared" si="85"/>
        <v>0</v>
      </c>
      <c r="AW84" s="392">
        <f t="shared" si="86"/>
        <v>0</v>
      </c>
      <c r="AX84" s="392">
        <f t="shared" si="87"/>
        <v>0</v>
      </c>
      <c r="AY84" s="392">
        <f t="shared" si="88"/>
        <v>0</v>
      </c>
      <c r="AZ84" s="393">
        <f t="shared" si="89"/>
        <v>0</v>
      </c>
      <c r="BA84" s="302"/>
      <c r="BB84" s="302"/>
      <c r="BC84" s="302"/>
      <c r="BD84" s="302"/>
      <c r="BE84" s="302"/>
      <c r="BF84" s="302"/>
      <c r="BG84" s="302"/>
      <c r="BH84" s="302"/>
      <c r="BI84" s="302"/>
      <c r="BJ84" s="302"/>
      <c r="BK84" s="302"/>
      <c r="BL84" s="302"/>
      <c r="BM84" s="302"/>
      <c r="BN84" s="302"/>
      <c r="BO84" s="302"/>
      <c r="BP84" s="302"/>
      <c r="BQ84" s="302"/>
      <c r="BR84" s="302"/>
      <c r="BS84" s="302"/>
      <c r="BT84" s="302"/>
      <c r="BU84" s="302"/>
    </row>
    <row r="85" spans="1:73">
      <c r="A85" s="325"/>
      <c r="B85" s="394"/>
      <c r="C85" s="570" t="s">
        <v>514</v>
      </c>
      <c r="D85" s="572">
        <v>7</v>
      </c>
      <c r="E85" s="572">
        <v>5.5940000000000003</v>
      </c>
      <c r="F85" s="395">
        <f t="shared" si="74"/>
        <v>1.5</v>
      </c>
      <c r="G85" s="382">
        <v>1200</v>
      </c>
      <c r="H85" s="396">
        <f t="shared" si="75"/>
        <v>0</v>
      </c>
      <c r="I85" s="396">
        <v>0</v>
      </c>
      <c r="J85" s="397"/>
      <c r="K85" s="570">
        <v>300</v>
      </c>
      <c r="L85" s="399">
        <f t="shared" si="76"/>
        <v>1.6956000000000002</v>
      </c>
      <c r="M85" s="395">
        <f t="shared" si="77"/>
        <v>1.6971428571428571</v>
      </c>
      <c r="N85" s="400">
        <f t="shared" si="78"/>
        <v>2.2628571428571429</v>
      </c>
      <c r="O85" s="365"/>
      <c r="P85" s="401">
        <f t="shared" si="79"/>
        <v>0</v>
      </c>
      <c r="Q85" s="302"/>
      <c r="R85" s="302"/>
      <c r="S85" s="302"/>
      <c r="T85" s="302"/>
      <c r="U85" s="302"/>
      <c r="V85" s="302"/>
      <c r="W85" s="302"/>
      <c r="X85" s="302"/>
      <c r="Y85" s="302"/>
      <c r="Z85" s="302"/>
      <c r="AA85" s="302"/>
      <c r="AB85" s="302"/>
      <c r="AC85" s="302"/>
      <c r="AD85" s="302"/>
      <c r="AE85" s="302"/>
      <c r="AF85" s="302"/>
      <c r="AG85" s="391">
        <v>0</v>
      </c>
      <c r="AH85" s="392">
        <v>0</v>
      </c>
      <c r="AI85" s="392">
        <v>0</v>
      </c>
      <c r="AJ85" s="392">
        <v>0</v>
      </c>
      <c r="AK85" s="392">
        <v>0</v>
      </c>
      <c r="AL85" s="392">
        <v>0</v>
      </c>
      <c r="AM85" s="392">
        <v>0</v>
      </c>
      <c r="AN85" s="392">
        <v>0</v>
      </c>
      <c r="AO85" s="392">
        <v>0</v>
      </c>
      <c r="AP85" s="393">
        <v>0</v>
      </c>
      <c r="AQ85" s="391">
        <f t="shared" si="80"/>
        <v>0</v>
      </c>
      <c r="AR85" s="392">
        <f t="shared" si="81"/>
        <v>0</v>
      </c>
      <c r="AS85" s="392">
        <f t="shared" si="82"/>
        <v>0</v>
      </c>
      <c r="AT85" s="392">
        <f t="shared" si="83"/>
        <v>0</v>
      </c>
      <c r="AU85" s="392">
        <f t="shared" si="84"/>
        <v>0</v>
      </c>
      <c r="AV85" s="392">
        <f t="shared" si="85"/>
        <v>0</v>
      </c>
      <c r="AW85" s="392">
        <f t="shared" si="86"/>
        <v>0</v>
      </c>
      <c r="AX85" s="392">
        <f t="shared" si="87"/>
        <v>0</v>
      </c>
      <c r="AY85" s="392">
        <f t="shared" si="88"/>
        <v>0</v>
      </c>
      <c r="AZ85" s="393">
        <f t="shared" si="89"/>
        <v>0</v>
      </c>
      <c r="BA85" s="302"/>
      <c r="BB85" s="302"/>
      <c r="BC85" s="302"/>
      <c r="BD85" s="302"/>
      <c r="BE85" s="302"/>
      <c r="BF85" s="302"/>
      <c r="BG85" s="302"/>
      <c r="BH85" s="302"/>
      <c r="BI85" s="302"/>
      <c r="BJ85" s="302"/>
      <c r="BK85" s="302"/>
      <c r="BL85" s="302"/>
      <c r="BM85" s="302"/>
      <c r="BN85" s="302"/>
      <c r="BO85" s="302"/>
      <c r="BP85" s="302"/>
      <c r="BQ85" s="302"/>
      <c r="BR85" s="302"/>
      <c r="BS85" s="302"/>
      <c r="BT85" s="302"/>
      <c r="BU85" s="302"/>
    </row>
    <row r="86" spans="1:73">
      <c r="A86" s="325"/>
      <c r="B86" s="394"/>
      <c r="C86" s="394"/>
      <c r="D86" s="326"/>
      <c r="E86" s="326"/>
      <c r="F86" s="395">
        <f t="shared" si="74"/>
        <v>0</v>
      </c>
      <c r="G86" s="394"/>
      <c r="H86" s="396">
        <f t="shared" si="75"/>
        <v>0</v>
      </c>
      <c r="I86" s="396">
        <v>0</v>
      </c>
      <c r="J86" s="397"/>
      <c r="K86" s="398"/>
      <c r="L86" s="399">
        <f t="shared" si="76"/>
        <v>0</v>
      </c>
      <c r="M86" s="395">
        <f t="shared" si="77"/>
        <v>0</v>
      </c>
      <c r="N86" s="400">
        <f t="shared" si="78"/>
        <v>0</v>
      </c>
      <c r="O86" s="365"/>
      <c r="P86" s="401">
        <f t="shared" si="79"/>
        <v>0</v>
      </c>
      <c r="Q86" s="302"/>
      <c r="R86" s="302"/>
      <c r="S86" s="302"/>
      <c r="T86" s="302"/>
      <c r="U86" s="302"/>
      <c r="V86" s="302"/>
      <c r="W86" s="302"/>
      <c r="X86" s="302"/>
      <c r="Y86" s="302"/>
      <c r="Z86" s="302"/>
      <c r="AA86" s="302"/>
      <c r="AB86" s="302"/>
      <c r="AC86" s="302"/>
      <c r="AD86" s="302"/>
      <c r="AE86" s="302"/>
      <c r="AF86" s="302"/>
      <c r="AG86" s="391">
        <v>0</v>
      </c>
      <c r="AH86" s="392">
        <v>0</v>
      </c>
      <c r="AI86" s="392">
        <v>0</v>
      </c>
      <c r="AJ86" s="392">
        <v>0</v>
      </c>
      <c r="AK86" s="392">
        <v>0</v>
      </c>
      <c r="AL86" s="392">
        <v>0</v>
      </c>
      <c r="AM86" s="392">
        <v>0</v>
      </c>
      <c r="AN86" s="392">
        <v>0</v>
      </c>
      <c r="AO86" s="392">
        <v>0</v>
      </c>
      <c r="AP86" s="393">
        <v>0</v>
      </c>
      <c r="AQ86" s="391">
        <f t="shared" si="80"/>
        <v>0</v>
      </c>
      <c r="AR86" s="392">
        <f t="shared" si="81"/>
        <v>0</v>
      </c>
      <c r="AS86" s="392">
        <f t="shared" si="82"/>
        <v>0</v>
      </c>
      <c r="AT86" s="392">
        <f t="shared" si="83"/>
        <v>0</v>
      </c>
      <c r="AU86" s="392">
        <f t="shared" si="84"/>
        <v>0</v>
      </c>
      <c r="AV86" s="392">
        <f t="shared" si="85"/>
        <v>0</v>
      </c>
      <c r="AW86" s="392">
        <f t="shared" si="86"/>
        <v>0</v>
      </c>
      <c r="AX86" s="392">
        <f t="shared" si="87"/>
        <v>0</v>
      </c>
      <c r="AY86" s="392">
        <f t="shared" si="88"/>
        <v>0</v>
      </c>
      <c r="AZ86" s="393">
        <f t="shared" si="89"/>
        <v>0</v>
      </c>
      <c r="BA86" s="302"/>
      <c r="BB86" s="302"/>
      <c r="BC86" s="302"/>
      <c r="BD86" s="302"/>
      <c r="BE86" s="302"/>
      <c r="BF86" s="302"/>
      <c r="BG86" s="302"/>
      <c r="BH86" s="302"/>
      <c r="BI86" s="302"/>
      <c r="BJ86" s="302"/>
      <c r="BK86" s="302"/>
      <c r="BL86" s="302"/>
      <c r="BM86" s="302"/>
      <c r="BN86" s="302"/>
      <c r="BO86" s="302"/>
      <c r="BP86" s="302"/>
      <c r="BQ86" s="302"/>
      <c r="BR86" s="302"/>
      <c r="BS86" s="302"/>
      <c r="BT86" s="302"/>
      <c r="BU86" s="302"/>
    </row>
    <row r="87" spans="1:73">
      <c r="A87" s="325"/>
      <c r="B87" s="394"/>
      <c r="C87" s="394"/>
      <c r="D87" s="326"/>
      <c r="E87" s="326"/>
      <c r="F87" s="395">
        <f t="shared" si="74"/>
        <v>0</v>
      </c>
      <c r="G87" s="394"/>
      <c r="H87" s="396">
        <f t="shared" si="75"/>
        <v>0</v>
      </c>
      <c r="I87" s="396">
        <v>0</v>
      </c>
      <c r="J87" s="397"/>
      <c r="K87" s="398"/>
      <c r="L87" s="399">
        <f t="shared" si="76"/>
        <v>0</v>
      </c>
      <c r="M87" s="395">
        <f t="shared" si="77"/>
        <v>0</v>
      </c>
      <c r="N87" s="400">
        <f t="shared" si="78"/>
        <v>0</v>
      </c>
      <c r="O87" s="365"/>
      <c r="P87" s="401">
        <f t="shared" si="79"/>
        <v>0</v>
      </c>
      <c r="Q87" s="302"/>
      <c r="R87" s="302"/>
      <c r="S87" s="302"/>
      <c r="T87" s="302"/>
      <c r="U87" s="302"/>
      <c r="V87" s="302"/>
      <c r="W87" s="302"/>
      <c r="X87" s="302"/>
      <c r="Y87" s="302"/>
      <c r="Z87" s="302"/>
      <c r="AA87" s="302"/>
      <c r="AB87" s="302"/>
      <c r="AC87" s="302"/>
      <c r="AD87" s="302"/>
      <c r="AE87" s="302"/>
      <c r="AF87" s="302"/>
      <c r="AG87" s="391">
        <v>0</v>
      </c>
      <c r="AH87" s="392">
        <v>0</v>
      </c>
      <c r="AI87" s="392">
        <v>0</v>
      </c>
      <c r="AJ87" s="392">
        <v>0</v>
      </c>
      <c r="AK87" s="392">
        <v>0</v>
      </c>
      <c r="AL87" s="392">
        <v>0</v>
      </c>
      <c r="AM87" s="392">
        <v>0</v>
      </c>
      <c r="AN87" s="392">
        <v>0</v>
      </c>
      <c r="AO87" s="392">
        <v>0</v>
      </c>
      <c r="AP87" s="393">
        <v>0</v>
      </c>
      <c r="AQ87" s="391">
        <f t="shared" si="80"/>
        <v>0</v>
      </c>
      <c r="AR87" s="392">
        <f t="shared" si="81"/>
        <v>0</v>
      </c>
      <c r="AS87" s="392">
        <f t="shared" si="82"/>
        <v>0</v>
      </c>
      <c r="AT87" s="392">
        <f t="shared" si="83"/>
        <v>0</v>
      </c>
      <c r="AU87" s="392">
        <f t="shared" si="84"/>
        <v>0</v>
      </c>
      <c r="AV87" s="392">
        <f t="shared" si="85"/>
        <v>0</v>
      </c>
      <c r="AW87" s="392">
        <f t="shared" si="86"/>
        <v>0</v>
      </c>
      <c r="AX87" s="392">
        <f t="shared" si="87"/>
        <v>0</v>
      </c>
      <c r="AY87" s="392">
        <f t="shared" si="88"/>
        <v>0</v>
      </c>
      <c r="AZ87" s="393">
        <f t="shared" si="89"/>
        <v>0</v>
      </c>
      <c r="BA87" s="302"/>
      <c r="BB87" s="302"/>
      <c r="BC87" s="302"/>
      <c r="BD87" s="302"/>
      <c r="BE87" s="302"/>
      <c r="BF87" s="302"/>
      <c r="BG87" s="302"/>
      <c r="BH87" s="302"/>
      <c r="BI87" s="302"/>
      <c r="BJ87" s="302"/>
      <c r="BK87" s="302"/>
      <c r="BL87" s="302"/>
      <c r="BM87" s="302"/>
      <c r="BN87" s="302"/>
      <c r="BO87" s="302"/>
      <c r="BP87" s="302"/>
      <c r="BQ87" s="302"/>
      <c r="BR87" s="302"/>
      <c r="BS87" s="302"/>
      <c r="BT87" s="302"/>
      <c r="BU87" s="302"/>
    </row>
    <row r="88" spans="1:73">
      <c r="A88" s="325"/>
      <c r="B88" s="394"/>
      <c r="C88" s="394"/>
      <c r="D88" s="326"/>
      <c r="E88" s="326"/>
      <c r="F88" s="395">
        <f t="shared" si="74"/>
        <v>0</v>
      </c>
      <c r="G88" s="394"/>
      <c r="H88" s="396">
        <f t="shared" si="75"/>
        <v>0</v>
      </c>
      <c r="I88" s="396">
        <v>0</v>
      </c>
      <c r="J88" s="397"/>
      <c r="K88" s="398"/>
      <c r="L88" s="399">
        <f t="shared" si="76"/>
        <v>0</v>
      </c>
      <c r="M88" s="395">
        <f t="shared" si="77"/>
        <v>0</v>
      </c>
      <c r="N88" s="400">
        <f t="shared" si="78"/>
        <v>0</v>
      </c>
      <c r="O88" s="365"/>
      <c r="P88" s="401">
        <f t="shared" si="79"/>
        <v>0</v>
      </c>
      <c r="Q88" s="302"/>
      <c r="R88" s="302"/>
      <c r="S88" s="302"/>
      <c r="T88" s="302"/>
      <c r="U88" s="302"/>
      <c r="V88" s="302"/>
      <c r="W88" s="302"/>
      <c r="X88" s="302"/>
      <c r="Y88" s="302"/>
      <c r="Z88" s="302"/>
      <c r="AA88" s="302"/>
      <c r="AB88" s="302"/>
      <c r="AC88" s="302"/>
      <c r="AD88" s="302"/>
      <c r="AE88" s="302"/>
      <c r="AF88" s="302"/>
      <c r="AG88" s="391">
        <v>0</v>
      </c>
      <c r="AH88" s="392">
        <v>0</v>
      </c>
      <c r="AI88" s="392">
        <v>0</v>
      </c>
      <c r="AJ88" s="392">
        <v>0</v>
      </c>
      <c r="AK88" s="392">
        <v>0</v>
      </c>
      <c r="AL88" s="392">
        <v>0</v>
      </c>
      <c r="AM88" s="392">
        <v>0</v>
      </c>
      <c r="AN88" s="392">
        <v>0</v>
      </c>
      <c r="AO88" s="392">
        <v>0</v>
      </c>
      <c r="AP88" s="393">
        <v>0</v>
      </c>
      <c r="AQ88" s="391">
        <f t="shared" si="80"/>
        <v>0</v>
      </c>
      <c r="AR88" s="392">
        <f t="shared" si="81"/>
        <v>0</v>
      </c>
      <c r="AS88" s="392">
        <f t="shared" si="82"/>
        <v>0</v>
      </c>
      <c r="AT88" s="392">
        <f t="shared" si="83"/>
        <v>0</v>
      </c>
      <c r="AU88" s="392">
        <f t="shared" si="84"/>
        <v>0</v>
      </c>
      <c r="AV88" s="392">
        <f t="shared" si="85"/>
        <v>0</v>
      </c>
      <c r="AW88" s="392">
        <f t="shared" si="86"/>
        <v>0</v>
      </c>
      <c r="AX88" s="392">
        <f t="shared" si="87"/>
        <v>0</v>
      </c>
      <c r="AY88" s="392">
        <f t="shared" si="88"/>
        <v>0</v>
      </c>
      <c r="AZ88" s="393">
        <f t="shared" si="89"/>
        <v>0</v>
      </c>
      <c r="BA88" s="302"/>
      <c r="BB88" s="302"/>
      <c r="BC88" s="302"/>
      <c r="BD88" s="302"/>
      <c r="BE88" s="302"/>
      <c r="BF88" s="302"/>
      <c r="BG88" s="302"/>
      <c r="BH88" s="302"/>
      <c r="BI88" s="302"/>
      <c r="BJ88" s="302"/>
      <c r="BK88" s="302"/>
      <c r="BL88" s="302"/>
      <c r="BM88" s="302"/>
      <c r="BN88" s="302"/>
      <c r="BO88" s="302"/>
      <c r="BP88" s="302"/>
      <c r="BQ88" s="302"/>
      <c r="BR88" s="302"/>
      <c r="BS88" s="302"/>
      <c r="BT88" s="302"/>
      <c r="BU88" s="302"/>
    </row>
    <row r="89" spans="1:73">
      <c r="A89" s="325"/>
      <c r="B89" s="394"/>
      <c r="C89" s="394"/>
      <c r="D89" s="326"/>
      <c r="E89" s="326"/>
      <c r="F89" s="395">
        <f t="shared" si="74"/>
        <v>0</v>
      </c>
      <c r="G89" s="394"/>
      <c r="H89" s="396">
        <f t="shared" si="75"/>
        <v>0</v>
      </c>
      <c r="I89" s="396">
        <v>0</v>
      </c>
      <c r="J89" s="397"/>
      <c r="K89" s="398"/>
      <c r="L89" s="399">
        <f t="shared" si="76"/>
        <v>0</v>
      </c>
      <c r="M89" s="395">
        <f t="shared" si="77"/>
        <v>0</v>
      </c>
      <c r="N89" s="400">
        <f t="shared" si="78"/>
        <v>0</v>
      </c>
      <c r="O89" s="365"/>
      <c r="P89" s="401">
        <f t="shared" si="79"/>
        <v>0</v>
      </c>
      <c r="Q89" s="302"/>
      <c r="R89" s="302"/>
      <c r="S89" s="302"/>
      <c r="T89" s="302"/>
      <c r="U89" s="302"/>
      <c r="V89" s="302"/>
      <c r="W89" s="302"/>
      <c r="X89" s="302"/>
      <c r="Y89" s="302"/>
      <c r="Z89" s="302"/>
      <c r="AA89" s="302"/>
      <c r="AB89" s="302"/>
      <c r="AC89" s="302"/>
      <c r="AD89" s="302"/>
      <c r="AE89" s="302"/>
      <c r="AF89" s="302"/>
      <c r="AG89" s="391">
        <v>0</v>
      </c>
      <c r="AH89" s="392">
        <v>0</v>
      </c>
      <c r="AI89" s="392">
        <v>0</v>
      </c>
      <c r="AJ89" s="392">
        <v>0</v>
      </c>
      <c r="AK89" s="392">
        <v>0</v>
      </c>
      <c r="AL89" s="392">
        <v>0</v>
      </c>
      <c r="AM89" s="392">
        <v>0</v>
      </c>
      <c r="AN89" s="392">
        <v>0</v>
      </c>
      <c r="AO89" s="392">
        <v>0</v>
      </c>
      <c r="AP89" s="393">
        <v>0</v>
      </c>
      <c r="AQ89" s="391">
        <f t="shared" si="80"/>
        <v>0</v>
      </c>
      <c r="AR89" s="392">
        <f t="shared" si="81"/>
        <v>0</v>
      </c>
      <c r="AS89" s="392">
        <f t="shared" si="82"/>
        <v>0</v>
      </c>
      <c r="AT89" s="392">
        <f t="shared" si="83"/>
        <v>0</v>
      </c>
      <c r="AU89" s="392">
        <f t="shared" si="84"/>
        <v>0</v>
      </c>
      <c r="AV89" s="392">
        <f t="shared" si="85"/>
        <v>0</v>
      </c>
      <c r="AW89" s="392">
        <f t="shared" si="86"/>
        <v>0</v>
      </c>
      <c r="AX89" s="392">
        <f t="shared" si="87"/>
        <v>0</v>
      </c>
      <c r="AY89" s="392">
        <f t="shared" si="88"/>
        <v>0</v>
      </c>
      <c r="AZ89" s="393">
        <f t="shared" si="89"/>
        <v>0</v>
      </c>
      <c r="BA89" s="302"/>
      <c r="BB89" s="302"/>
      <c r="BC89" s="302"/>
      <c r="BD89" s="302"/>
      <c r="BE89" s="302"/>
      <c r="BF89" s="302"/>
      <c r="BG89" s="302"/>
      <c r="BH89" s="302"/>
      <c r="BI89" s="302"/>
      <c r="BJ89" s="302"/>
      <c r="BK89" s="302"/>
      <c r="BL89" s="302"/>
      <c r="BM89" s="302"/>
      <c r="BN89" s="302"/>
      <c r="BO89" s="302"/>
      <c r="BP89" s="302"/>
      <c r="BQ89" s="302"/>
      <c r="BR89" s="302"/>
      <c r="BS89" s="302"/>
      <c r="BT89" s="302"/>
      <c r="BU89" s="302"/>
    </row>
    <row r="90" spans="1:73">
      <c r="A90" s="325"/>
      <c r="B90" s="394"/>
      <c r="C90" s="394"/>
      <c r="D90" s="326"/>
      <c r="E90" s="326"/>
      <c r="F90" s="395">
        <f t="shared" si="74"/>
        <v>0</v>
      </c>
      <c r="G90" s="394"/>
      <c r="H90" s="396">
        <f t="shared" si="75"/>
        <v>0</v>
      </c>
      <c r="I90" s="396">
        <v>0</v>
      </c>
      <c r="J90" s="397"/>
      <c r="K90" s="398"/>
      <c r="L90" s="399">
        <f t="shared" si="76"/>
        <v>0</v>
      </c>
      <c r="M90" s="395">
        <f t="shared" si="77"/>
        <v>0</v>
      </c>
      <c r="N90" s="400">
        <f t="shared" si="78"/>
        <v>0</v>
      </c>
      <c r="O90" s="365"/>
      <c r="P90" s="401">
        <f t="shared" si="79"/>
        <v>0</v>
      </c>
      <c r="Q90" s="302"/>
      <c r="R90" s="302"/>
      <c r="S90" s="302"/>
      <c r="T90" s="302"/>
      <c r="U90" s="302"/>
      <c r="V90" s="302"/>
      <c r="W90" s="302"/>
      <c r="X90" s="302"/>
      <c r="Y90" s="302"/>
      <c r="Z90" s="302"/>
      <c r="AA90" s="302"/>
      <c r="AB90" s="302"/>
      <c r="AC90" s="302"/>
      <c r="AD90" s="302"/>
      <c r="AE90" s="302"/>
      <c r="AF90" s="302"/>
      <c r="AG90" s="391">
        <v>0</v>
      </c>
      <c r="AH90" s="392">
        <v>0</v>
      </c>
      <c r="AI90" s="392">
        <v>0</v>
      </c>
      <c r="AJ90" s="392">
        <v>0</v>
      </c>
      <c r="AK90" s="392">
        <v>0</v>
      </c>
      <c r="AL90" s="392">
        <v>0</v>
      </c>
      <c r="AM90" s="392">
        <v>0</v>
      </c>
      <c r="AN90" s="392">
        <v>0</v>
      </c>
      <c r="AO90" s="392">
        <v>0</v>
      </c>
      <c r="AP90" s="393">
        <v>0</v>
      </c>
      <c r="AQ90" s="391">
        <f t="shared" si="80"/>
        <v>0</v>
      </c>
      <c r="AR90" s="392">
        <f t="shared" si="81"/>
        <v>0</v>
      </c>
      <c r="AS90" s="392">
        <f t="shared" si="82"/>
        <v>0</v>
      </c>
      <c r="AT90" s="392">
        <f t="shared" si="83"/>
        <v>0</v>
      </c>
      <c r="AU90" s="392">
        <f t="shared" si="84"/>
        <v>0</v>
      </c>
      <c r="AV90" s="392">
        <f t="shared" si="85"/>
        <v>0</v>
      </c>
      <c r="AW90" s="392">
        <f t="shared" si="86"/>
        <v>0</v>
      </c>
      <c r="AX90" s="392">
        <f t="shared" si="87"/>
        <v>0</v>
      </c>
      <c r="AY90" s="392">
        <f t="shared" si="88"/>
        <v>0</v>
      </c>
      <c r="AZ90" s="393">
        <f t="shared" si="89"/>
        <v>0</v>
      </c>
      <c r="BA90" s="302"/>
      <c r="BB90" s="302"/>
      <c r="BC90" s="302"/>
      <c r="BD90" s="302"/>
      <c r="BE90" s="302"/>
      <c r="BF90" s="302"/>
      <c r="BG90" s="302"/>
      <c r="BH90" s="302"/>
      <c r="BI90" s="302"/>
      <c r="BJ90" s="302"/>
      <c r="BK90" s="302"/>
      <c r="BL90" s="302"/>
      <c r="BM90" s="302"/>
      <c r="BN90" s="302"/>
      <c r="BO90" s="302"/>
      <c r="BP90" s="302"/>
      <c r="BQ90" s="302"/>
      <c r="BR90" s="302"/>
      <c r="BS90" s="302"/>
      <c r="BT90" s="302"/>
      <c r="BU90" s="302"/>
    </row>
    <row r="91" spans="1:73">
      <c r="A91" s="325"/>
      <c r="B91" s="394"/>
      <c r="C91" s="394"/>
      <c r="D91" s="326"/>
      <c r="E91" s="326"/>
      <c r="F91" s="395">
        <f t="shared" si="74"/>
        <v>0</v>
      </c>
      <c r="G91" s="394"/>
      <c r="H91" s="396">
        <f t="shared" si="75"/>
        <v>0</v>
      </c>
      <c r="I91" s="396">
        <v>0</v>
      </c>
      <c r="J91" s="397"/>
      <c r="K91" s="398"/>
      <c r="L91" s="399">
        <f t="shared" si="76"/>
        <v>0</v>
      </c>
      <c r="M91" s="395">
        <f t="shared" si="77"/>
        <v>0</v>
      </c>
      <c r="N91" s="400">
        <f t="shared" si="78"/>
        <v>0</v>
      </c>
      <c r="O91" s="365"/>
      <c r="P91" s="401">
        <f t="shared" si="79"/>
        <v>0</v>
      </c>
      <c r="Q91" s="302"/>
      <c r="R91" s="302"/>
      <c r="S91" s="302"/>
      <c r="T91" s="302"/>
      <c r="U91" s="302"/>
      <c r="V91" s="302"/>
      <c r="W91" s="302"/>
      <c r="X91" s="302"/>
      <c r="Y91" s="302"/>
      <c r="Z91" s="302"/>
      <c r="AA91" s="302"/>
      <c r="AB91" s="302"/>
      <c r="AC91" s="302"/>
      <c r="AD91" s="302"/>
      <c r="AE91" s="302"/>
      <c r="AF91" s="302"/>
      <c r="AG91" s="391">
        <v>0</v>
      </c>
      <c r="AH91" s="392">
        <v>0</v>
      </c>
      <c r="AI91" s="392">
        <v>0</v>
      </c>
      <c r="AJ91" s="392">
        <v>0</v>
      </c>
      <c r="AK91" s="392">
        <v>0</v>
      </c>
      <c r="AL91" s="392">
        <v>0</v>
      </c>
      <c r="AM91" s="392">
        <v>0</v>
      </c>
      <c r="AN91" s="392">
        <v>0</v>
      </c>
      <c r="AO91" s="392">
        <v>0</v>
      </c>
      <c r="AP91" s="393">
        <v>0</v>
      </c>
      <c r="AQ91" s="391">
        <f t="shared" si="80"/>
        <v>0</v>
      </c>
      <c r="AR91" s="392">
        <f t="shared" si="81"/>
        <v>0</v>
      </c>
      <c r="AS91" s="392">
        <f t="shared" si="82"/>
        <v>0</v>
      </c>
      <c r="AT91" s="392">
        <f t="shared" si="83"/>
        <v>0</v>
      </c>
      <c r="AU91" s="392">
        <f t="shared" si="84"/>
        <v>0</v>
      </c>
      <c r="AV91" s="392">
        <f t="shared" si="85"/>
        <v>0</v>
      </c>
      <c r="AW91" s="392">
        <f t="shared" si="86"/>
        <v>0</v>
      </c>
      <c r="AX91" s="392">
        <f t="shared" si="87"/>
        <v>0</v>
      </c>
      <c r="AY91" s="392">
        <f t="shared" si="88"/>
        <v>0</v>
      </c>
      <c r="AZ91" s="393">
        <f t="shared" si="89"/>
        <v>0</v>
      </c>
      <c r="BA91" s="302"/>
      <c r="BB91" s="302"/>
      <c r="BC91" s="302"/>
      <c r="BD91" s="302"/>
      <c r="BE91" s="302"/>
      <c r="BF91" s="302"/>
      <c r="BG91" s="302"/>
      <c r="BH91" s="302"/>
      <c r="BI91" s="302"/>
      <c r="BJ91" s="302"/>
      <c r="BK91" s="302"/>
      <c r="BL91" s="302"/>
      <c r="BM91" s="302"/>
      <c r="BN91" s="302"/>
      <c r="BO91" s="302"/>
      <c r="BP91" s="302"/>
      <c r="BQ91" s="302"/>
      <c r="BR91" s="302"/>
      <c r="BS91" s="302"/>
      <c r="BT91" s="302"/>
      <c r="BU91" s="302"/>
    </row>
    <row r="92" spans="1:73">
      <c r="A92" s="325"/>
      <c r="B92" s="394"/>
      <c r="C92" s="394"/>
      <c r="D92" s="326"/>
      <c r="E92" s="326"/>
      <c r="F92" s="395">
        <f t="shared" si="74"/>
        <v>0</v>
      </c>
      <c r="G92" s="394"/>
      <c r="H92" s="396">
        <f t="shared" si="75"/>
        <v>0</v>
      </c>
      <c r="I92" s="396">
        <v>0</v>
      </c>
      <c r="J92" s="397"/>
      <c r="K92" s="398"/>
      <c r="L92" s="399">
        <f t="shared" si="76"/>
        <v>0</v>
      </c>
      <c r="M92" s="395">
        <f t="shared" si="77"/>
        <v>0</v>
      </c>
      <c r="N92" s="400">
        <f t="shared" si="78"/>
        <v>0</v>
      </c>
      <c r="O92" s="365"/>
      <c r="P92" s="401">
        <f t="shared" si="79"/>
        <v>0</v>
      </c>
      <c r="Q92" s="302"/>
      <c r="R92" s="302"/>
      <c r="S92" s="302"/>
      <c r="T92" s="302"/>
      <c r="U92" s="302"/>
      <c r="V92" s="302"/>
      <c r="W92" s="302"/>
      <c r="X92" s="302"/>
      <c r="Y92" s="302"/>
      <c r="Z92" s="302"/>
      <c r="AA92" s="302"/>
      <c r="AB92" s="302"/>
      <c r="AC92" s="302"/>
      <c r="AD92" s="302"/>
      <c r="AE92" s="302"/>
      <c r="AF92" s="302"/>
      <c r="AG92" s="391">
        <v>0</v>
      </c>
      <c r="AH92" s="392">
        <v>0</v>
      </c>
      <c r="AI92" s="392">
        <v>0</v>
      </c>
      <c r="AJ92" s="392">
        <v>0</v>
      </c>
      <c r="AK92" s="392">
        <v>0</v>
      </c>
      <c r="AL92" s="392">
        <v>0</v>
      </c>
      <c r="AM92" s="392">
        <v>0</v>
      </c>
      <c r="AN92" s="392">
        <v>0</v>
      </c>
      <c r="AO92" s="392">
        <v>0</v>
      </c>
      <c r="AP92" s="393">
        <v>0</v>
      </c>
      <c r="AQ92" s="391">
        <f t="shared" si="80"/>
        <v>0</v>
      </c>
      <c r="AR92" s="392">
        <f t="shared" si="81"/>
        <v>0</v>
      </c>
      <c r="AS92" s="392">
        <f t="shared" si="82"/>
        <v>0</v>
      </c>
      <c r="AT92" s="392">
        <f t="shared" si="83"/>
        <v>0</v>
      </c>
      <c r="AU92" s="392">
        <f t="shared" si="84"/>
        <v>0</v>
      </c>
      <c r="AV92" s="392">
        <f t="shared" si="85"/>
        <v>0</v>
      </c>
      <c r="AW92" s="392">
        <f t="shared" si="86"/>
        <v>0</v>
      </c>
      <c r="AX92" s="392">
        <f t="shared" si="87"/>
        <v>0</v>
      </c>
      <c r="AY92" s="392">
        <f t="shared" si="88"/>
        <v>0</v>
      </c>
      <c r="AZ92" s="393">
        <f t="shared" si="89"/>
        <v>0</v>
      </c>
      <c r="BA92" s="302"/>
      <c r="BB92" s="302"/>
      <c r="BC92" s="302"/>
      <c r="BD92" s="302"/>
      <c r="BE92" s="302"/>
      <c r="BF92" s="302"/>
      <c r="BG92" s="302"/>
      <c r="BH92" s="302"/>
      <c r="BI92" s="302"/>
      <c r="BJ92" s="302"/>
      <c r="BK92" s="302"/>
      <c r="BL92" s="302"/>
      <c r="BM92" s="302"/>
      <c r="BN92" s="302"/>
      <c r="BO92" s="302"/>
      <c r="BP92" s="302"/>
      <c r="BQ92" s="302"/>
      <c r="BR92" s="302"/>
      <c r="BS92" s="302"/>
      <c r="BT92" s="302"/>
      <c r="BU92" s="302"/>
    </row>
    <row r="93" spans="1:73">
      <c r="A93" s="325"/>
      <c r="B93" s="394"/>
      <c r="C93" s="394"/>
      <c r="D93" s="326"/>
      <c r="E93" s="326"/>
      <c r="F93" s="395">
        <f t="shared" si="74"/>
        <v>0</v>
      </c>
      <c r="G93" s="394"/>
      <c r="H93" s="396">
        <f t="shared" si="75"/>
        <v>0</v>
      </c>
      <c r="I93" s="396">
        <v>0</v>
      </c>
      <c r="J93" s="397"/>
      <c r="K93" s="398"/>
      <c r="L93" s="399">
        <f t="shared" si="76"/>
        <v>0</v>
      </c>
      <c r="M93" s="395">
        <f t="shared" si="77"/>
        <v>0</v>
      </c>
      <c r="N93" s="400">
        <f t="shared" si="78"/>
        <v>0</v>
      </c>
      <c r="O93" s="365"/>
      <c r="P93" s="401">
        <f t="shared" si="79"/>
        <v>0</v>
      </c>
      <c r="Q93" s="302"/>
      <c r="R93" s="302"/>
      <c r="S93" s="302"/>
      <c r="T93" s="302"/>
      <c r="U93" s="302"/>
      <c r="V93" s="302"/>
      <c r="W93" s="302"/>
      <c r="X93" s="302"/>
      <c r="Y93" s="302"/>
      <c r="Z93" s="302"/>
      <c r="AA93" s="302"/>
      <c r="AB93" s="302"/>
      <c r="AC93" s="302"/>
      <c r="AD93" s="302"/>
      <c r="AE93" s="302"/>
      <c r="AF93" s="302"/>
      <c r="AG93" s="391">
        <v>0</v>
      </c>
      <c r="AH93" s="392">
        <v>0</v>
      </c>
      <c r="AI93" s="392">
        <v>0</v>
      </c>
      <c r="AJ93" s="392">
        <v>0</v>
      </c>
      <c r="AK93" s="392">
        <v>0</v>
      </c>
      <c r="AL93" s="392">
        <v>0</v>
      </c>
      <c r="AM93" s="392">
        <v>0</v>
      </c>
      <c r="AN93" s="392">
        <v>0</v>
      </c>
      <c r="AO93" s="392">
        <v>0</v>
      </c>
      <c r="AP93" s="393">
        <v>0</v>
      </c>
      <c r="AQ93" s="391">
        <f t="shared" si="80"/>
        <v>0</v>
      </c>
      <c r="AR93" s="392">
        <f t="shared" si="81"/>
        <v>0</v>
      </c>
      <c r="AS93" s="392">
        <f t="shared" si="82"/>
        <v>0</v>
      </c>
      <c r="AT93" s="392">
        <f t="shared" si="83"/>
        <v>0</v>
      </c>
      <c r="AU93" s="392">
        <f t="shared" si="84"/>
        <v>0</v>
      </c>
      <c r="AV93" s="392">
        <f t="shared" si="85"/>
        <v>0</v>
      </c>
      <c r="AW93" s="392">
        <f t="shared" si="86"/>
        <v>0</v>
      </c>
      <c r="AX93" s="392">
        <f t="shared" si="87"/>
        <v>0</v>
      </c>
      <c r="AY93" s="392">
        <f t="shared" si="88"/>
        <v>0</v>
      </c>
      <c r="AZ93" s="393">
        <f t="shared" si="89"/>
        <v>0</v>
      </c>
      <c r="BA93" s="302"/>
      <c r="BB93" s="302"/>
      <c r="BC93" s="302"/>
      <c r="BD93" s="302"/>
      <c r="BE93" s="302"/>
      <c r="BF93" s="302"/>
      <c r="BG93" s="302"/>
      <c r="BH93" s="302"/>
      <c r="BI93" s="302"/>
      <c r="BJ93" s="302"/>
      <c r="BK93" s="302"/>
      <c r="BL93" s="302"/>
      <c r="BM93" s="302"/>
      <c r="BN93" s="302"/>
      <c r="BO93" s="302"/>
      <c r="BP93" s="302"/>
      <c r="BQ93" s="302"/>
      <c r="BR93" s="302"/>
      <c r="BS93" s="302"/>
      <c r="BT93" s="302"/>
      <c r="BU93" s="302"/>
    </row>
    <row r="94" spans="1:73">
      <c r="A94" s="325"/>
      <c r="B94" s="394"/>
      <c r="C94" s="394"/>
      <c r="D94" s="326"/>
      <c r="E94" s="326"/>
      <c r="F94" s="395">
        <f t="shared" si="74"/>
        <v>0</v>
      </c>
      <c r="G94" s="394"/>
      <c r="H94" s="396">
        <f t="shared" si="75"/>
        <v>0</v>
      </c>
      <c r="I94" s="396">
        <v>0</v>
      </c>
      <c r="J94" s="397"/>
      <c r="K94" s="398"/>
      <c r="L94" s="399">
        <f t="shared" si="76"/>
        <v>0</v>
      </c>
      <c r="M94" s="395">
        <f t="shared" si="77"/>
        <v>0</v>
      </c>
      <c r="N94" s="400">
        <f t="shared" si="78"/>
        <v>0</v>
      </c>
      <c r="O94" s="365"/>
      <c r="P94" s="401">
        <f t="shared" si="79"/>
        <v>0</v>
      </c>
      <c r="Q94" s="302"/>
      <c r="R94" s="302"/>
      <c r="S94" s="302"/>
      <c r="T94" s="302"/>
      <c r="U94" s="302"/>
      <c r="V94" s="302"/>
      <c r="W94" s="302"/>
      <c r="X94" s="302"/>
      <c r="Y94" s="302"/>
      <c r="Z94" s="302"/>
      <c r="AA94" s="302"/>
      <c r="AB94" s="302"/>
      <c r="AC94" s="302"/>
      <c r="AD94" s="302"/>
      <c r="AE94" s="302"/>
      <c r="AF94" s="302"/>
      <c r="AG94" s="391">
        <v>0</v>
      </c>
      <c r="AH94" s="392">
        <v>0</v>
      </c>
      <c r="AI94" s="392">
        <v>0</v>
      </c>
      <c r="AJ94" s="392">
        <v>0</v>
      </c>
      <c r="AK94" s="392">
        <v>0</v>
      </c>
      <c r="AL94" s="392">
        <v>0</v>
      </c>
      <c r="AM94" s="392">
        <v>0</v>
      </c>
      <c r="AN94" s="392">
        <v>0</v>
      </c>
      <c r="AO94" s="392">
        <v>0</v>
      </c>
      <c r="AP94" s="393">
        <v>0</v>
      </c>
      <c r="AQ94" s="391">
        <f t="shared" si="80"/>
        <v>0</v>
      </c>
      <c r="AR94" s="392">
        <f t="shared" si="81"/>
        <v>0</v>
      </c>
      <c r="AS94" s="392">
        <f t="shared" si="82"/>
        <v>0</v>
      </c>
      <c r="AT94" s="392">
        <f t="shared" si="83"/>
        <v>0</v>
      </c>
      <c r="AU94" s="392">
        <f t="shared" si="84"/>
        <v>0</v>
      </c>
      <c r="AV94" s="392">
        <f t="shared" si="85"/>
        <v>0</v>
      </c>
      <c r="AW94" s="392">
        <f t="shared" si="86"/>
        <v>0</v>
      </c>
      <c r="AX94" s="392">
        <f t="shared" si="87"/>
        <v>0</v>
      </c>
      <c r="AY94" s="392">
        <f t="shared" si="88"/>
        <v>0</v>
      </c>
      <c r="AZ94" s="393">
        <f t="shared" si="89"/>
        <v>0</v>
      </c>
      <c r="BA94" s="302"/>
      <c r="BB94" s="302"/>
      <c r="BC94" s="302"/>
      <c r="BD94" s="302"/>
      <c r="BE94" s="302"/>
      <c r="BF94" s="302"/>
      <c r="BG94" s="302"/>
      <c r="BH94" s="302"/>
      <c r="BI94" s="302"/>
      <c r="BJ94" s="302"/>
      <c r="BK94" s="302"/>
      <c r="BL94" s="302"/>
      <c r="BM94" s="302"/>
      <c r="BN94" s="302"/>
      <c r="BO94" s="302"/>
      <c r="BP94" s="302"/>
      <c r="BQ94" s="302"/>
      <c r="BR94" s="302"/>
      <c r="BS94" s="302"/>
      <c r="BT94" s="302"/>
      <c r="BU94" s="302"/>
    </row>
    <row r="95" spans="1:73">
      <c r="A95" s="325"/>
      <c r="B95" s="394"/>
      <c r="C95" s="394"/>
      <c r="D95" s="326"/>
      <c r="E95" s="326"/>
      <c r="F95" s="395">
        <f t="shared" si="74"/>
        <v>0</v>
      </c>
      <c r="G95" s="394"/>
      <c r="H95" s="396">
        <f t="shared" si="75"/>
        <v>0</v>
      </c>
      <c r="I95" s="396">
        <v>0</v>
      </c>
      <c r="J95" s="397"/>
      <c r="K95" s="398"/>
      <c r="L95" s="399">
        <f t="shared" si="76"/>
        <v>0</v>
      </c>
      <c r="M95" s="395">
        <f t="shared" si="77"/>
        <v>0</v>
      </c>
      <c r="N95" s="400">
        <f t="shared" si="78"/>
        <v>0</v>
      </c>
      <c r="O95" s="365"/>
      <c r="P95" s="401">
        <f t="shared" si="79"/>
        <v>0</v>
      </c>
      <c r="Q95" s="302"/>
      <c r="R95" s="302"/>
      <c r="S95" s="302"/>
      <c r="T95" s="302"/>
      <c r="U95" s="302"/>
      <c r="V95" s="302"/>
      <c r="W95" s="302"/>
      <c r="X95" s="302"/>
      <c r="Y95" s="302"/>
      <c r="Z95" s="302"/>
      <c r="AA95" s="302"/>
      <c r="AB95" s="302"/>
      <c r="AC95" s="302"/>
      <c r="AD95" s="302"/>
      <c r="AE95" s="302"/>
      <c r="AF95" s="302"/>
      <c r="AG95" s="391">
        <v>0</v>
      </c>
      <c r="AH95" s="392">
        <v>0</v>
      </c>
      <c r="AI95" s="392">
        <v>0</v>
      </c>
      <c r="AJ95" s="392">
        <v>0</v>
      </c>
      <c r="AK95" s="392">
        <v>0</v>
      </c>
      <c r="AL95" s="392">
        <v>0</v>
      </c>
      <c r="AM95" s="392">
        <v>0</v>
      </c>
      <c r="AN95" s="392">
        <v>0</v>
      </c>
      <c r="AO95" s="392">
        <v>0</v>
      </c>
      <c r="AP95" s="393">
        <v>0</v>
      </c>
      <c r="AQ95" s="391">
        <f t="shared" si="80"/>
        <v>0</v>
      </c>
      <c r="AR95" s="392">
        <f t="shared" si="81"/>
        <v>0</v>
      </c>
      <c r="AS95" s="392">
        <f t="shared" si="82"/>
        <v>0</v>
      </c>
      <c r="AT95" s="392">
        <f t="shared" si="83"/>
        <v>0</v>
      </c>
      <c r="AU95" s="392">
        <f t="shared" si="84"/>
        <v>0</v>
      </c>
      <c r="AV95" s="392">
        <f t="shared" si="85"/>
        <v>0</v>
      </c>
      <c r="AW95" s="392">
        <f t="shared" si="86"/>
        <v>0</v>
      </c>
      <c r="AX95" s="392">
        <f t="shared" si="87"/>
        <v>0</v>
      </c>
      <c r="AY95" s="392">
        <f t="shared" si="88"/>
        <v>0</v>
      </c>
      <c r="AZ95" s="393">
        <f t="shared" si="89"/>
        <v>0</v>
      </c>
      <c r="BA95" s="302"/>
      <c r="BB95" s="302"/>
      <c r="BC95" s="302"/>
      <c r="BD95" s="302"/>
      <c r="BE95" s="302"/>
      <c r="BF95" s="302"/>
      <c r="BG95" s="302"/>
      <c r="BH95" s="302"/>
      <c r="BI95" s="302"/>
      <c r="BJ95" s="302"/>
      <c r="BK95" s="302"/>
      <c r="BL95" s="302"/>
      <c r="BM95" s="302"/>
      <c r="BN95" s="302"/>
      <c r="BO95" s="302"/>
      <c r="BP95" s="302"/>
      <c r="BQ95" s="302"/>
      <c r="BR95" s="302"/>
      <c r="BS95" s="302"/>
      <c r="BT95" s="302"/>
      <c r="BU95" s="302"/>
    </row>
    <row r="96" spans="1:73">
      <c r="A96" s="325"/>
      <c r="B96" s="394"/>
      <c r="C96" s="394"/>
      <c r="D96" s="326"/>
      <c r="E96" s="326"/>
      <c r="F96" s="395">
        <f t="shared" si="74"/>
        <v>0</v>
      </c>
      <c r="G96" s="394"/>
      <c r="H96" s="396">
        <f t="shared" si="75"/>
        <v>0</v>
      </c>
      <c r="I96" s="396">
        <v>0</v>
      </c>
      <c r="J96" s="397"/>
      <c r="K96" s="398"/>
      <c r="L96" s="399">
        <f t="shared" si="76"/>
        <v>0</v>
      </c>
      <c r="M96" s="395">
        <f t="shared" si="77"/>
        <v>0</v>
      </c>
      <c r="N96" s="400">
        <f t="shared" si="78"/>
        <v>0</v>
      </c>
      <c r="O96" s="365"/>
      <c r="P96" s="401">
        <f t="shared" si="79"/>
        <v>0</v>
      </c>
      <c r="Q96" s="302"/>
      <c r="R96" s="302"/>
      <c r="S96" s="302"/>
      <c r="T96" s="302"/>
      <c r="U96" s="302"/>
      <c r="V96" s="302"/>
      <c r="W96" s="302"/>
      <c r="X96" s="302"/>
      <c r="Y96" s="302"/>
      <c r="Z96" s="302"/>
      <c r="AA96" s="302"/>
      <c r="AB96" s="302"/>
      <c r="AC96" s="302"/>
      <c r="AD96" s="302"/>
      <c r="AE96" s="302"/>
      <c r="AF96" s="302"/>
      <c r="AG96" s="391">
        <v>0</v>
      </c>
      <c r="AH96" s="392">
        <v>0</v>
      </c>
      <c r="AI96" s="392">
        <v>0</v>
      </c>
      <c r="AJ96" s="392">
        <v>0</v>
      </c>
      <c r="AK96" s="392">
        <v>0</v>
      </c>
      <c r="AL96" s="392">
        <v>0</v>
      </c>
      <c r="AM96" s="392">
        <v>0</v>
      </c>
      <c r="AN96" s="392">
        <v>0</v>
      </c>
      <c r="AO96" s="392">
        <v>0</v>
      </c>
      <c r="AP96" s="393">
        <v>0</v>
      </c>
      <c r="AQ96" s="391">
        <f t="shared" si="80"/>
        <v>0</v>
      </c>
      <c r="AR96" s="392">
        <f t="shared" si="81"/>
        <v>0</v>
      </c>
      <c r="AS96" s="392">
        <f t="shared" si="82"/>
        <v>0</v>
      </c>
      <c r="AT96" s="392">
        <f t="shared" si="83"/>
        <v>0</v>
      </c>
      <c r="AU96" s="392">
        <f t="shared" si="84"/>
        <v>0</v>
      </c>
      <c r="AV96" s="392">
        <f t="shared" si="85"/>
        <v>0</v>
      </c>
      <c r="AW96" s="392">
        <f t="shared" si="86"/>
        <v>0</v>
      </c>
      <c r="AX96" s="392">
        <f t="shared" si="87"/>
        <v>0</v>
      </c>
      <c r="AY96" s="392">
        <f t="shared" si="88"/>
        <v>0</v>
      </c>
      <c r="AZ96" s="393">
        <f t="shared" si="89"/>
        <v>0</v>
      </c>
      <c r="BA96" s="302"/>
      <c r="BB96" s="302"/>
      <c r="BC96" s="302"/>
      <c r="BD96" s="302"/>
      <c r="BE96" s="302"/>
      <c r="BF96" s="302"/>
      <c r="BG96" s="302"/>
      <c r="BH96" s="302"/>
      <c r="BI96" s="302"/>
      <c r="BJ96" s="302"/>
      <c r="BK96" s="302"/>
      <c r="BL96" s="302"/>
      <c r="BM96" s="302"/>
      <c r="BN96" s="302"/>
      <c r="BO96" s="302"/>
      <c r="BP96" s="302"/>
      <c r="BQ96" s="302"/>
      <c r="BR96" s="302"/>
      <c r="BS96" s="302"/>
      <c r="BT96" s="302"/>
      <c r="BU96" s="302"/>
    </row>
    <row r="97" spans="1:73">
      <c r="A97" s="325"/>
      <c r="B97" s="394"/>
      <c r="C97" s="394"/>
      <c r="D97" s="326"/>
      <c r="E97" s="326"/>
      <c r="F97" s="395">
        <f t="shared" si="74"/>
        <v>0</v>
      </c>
      <c r="G97" s="394"/>
      <c r="H97" s="396">
        <f t="shared" si="75"/>
        <v>0</v>
      </c>
      <c r="I97" s="396">
        <v>0</v>
      </c>
      <c r="J97" s="397"/>
      <c r="K97" s="398"/>
      <c r="L97" s="399">
        <f t="shared" si="76"/>
        <v>0</v>
      </c>
      <c r="M97" s="395">
        <f t="shared" si="77"/>
        <v>0</v>
      </c>
      <c r="N97" s="400">
        <f t="shared" si="78"/>
        <v>0</v>
      </c>
      <c r="O97" s="365"/>
      <c r="P97" s="401">
        <f t="shared" si="79"/>
        <v>0</v>
      </c>
      <c r="Q97" s="302"/>
      <c r="R97" s="302"/>
      <c r="S97" s="302"/>
      <c r="T97" s="302"/>
      <c r="U97" s="302"/>
      <c r="V97" s="302"/>
      <c r="W97" s="302"/>
      <c r="X97" s="302"/>
      <c r="Y97" s="302"/>
      <c r="Z97" s="302"/>
      <c r="AA97" s="302"/>
      <c r="AB97" s="302"/>
      <c r="AC97" s="302"/>
      <c r="AD97" s="302"/>
      <c r="AE97" s="302"/>
      <c r="AF97" s="302"/>
      <c r="AG97" s="391">
        <v>0</v>
      </c>
      <c r="AH97" s="392">
        <v>0</v>
      </c>
      <c r="AI97" s="392">
        <v>0</v>
      </c>
      <c r="AJ97" s="392">
        <v>0</v>
      </c>
      <c r="AK97" s="392">
        <v>0</v>
      </c>
      <c r="AL97" s="392">
        <v>0</v>
      </c>
      <c r="AM97" s="392">
        <v>0</v>
      </c>
      <c r="AN97" s="392">
        <v>0</v>
      </c>
      <c r="AO97" s="392">
        <v>0</v>
      </c>
      <c r="AP97" s="393">
        <v>0</v>
      </c>
      <c r="AQ97" s="391">
        <f t="shared" si="80"/>
        <v>0</v>
      </c>
      <c r="AR97" s="392">
        <f t="shared" si="81"/>
        <v>0</v>
      </c>
      <c r="AS97" s="392">
        <f t="shared" si="82"/>
        <v>0</v>
      </c>
      <c r="AT97" s="392">
        <f t="shared" si="83"/>
        <v>0</v>
      </c>
      <c r="AU97" s="392">
        <f t="shared" si="84"/>
        <v>0</v>
      </c>
      <c r="AV97" s="392">
        <f t="shared" si="85"/>
        <v>0</v>
      </c>
      <c r="AW97" s="392">
        <f t="shared" si="86"/>
        <v>0</v>
      </c>
      <c r="AX97" s="392">
        <f t="shared" si="87"/>
        <v>0</v>
      </c>
      <c r="AY97" s="392">
        <f t="shared" si="88"/>
        <v>0</v>
      </c>
      <c r="AZ97" s="393">
        <f t="shared" si="89"/>
        <v>0</v>
      </c>
      <c r="BA97" s="302"/>
      <c r="BB97" s="302"/>
      <c r="BC97" s="302"/>
      <c r="BD97" s="302"/>
      <c r="BE97" s="302"/>
      <c r="BF97" s="302"/>
      <c r="BG97" s="302"/>
      <c r="BH97" s="302"/>
      <c r="BI97" s="302"/>
      <c r="BJ97" s="302"/>
      <c r="BK97" s="302"/>
      <c r="BL97" s="302"/>
      <c r="BM97" s="302"/>
      <c r="BN97" s="302"/>
      <c r="BO97" s="302"/>
      <c r="BP97" s="302"/>
      <c r="BQ97" s="302"/>
      <c r="BR97" s="302"/>
      <c r="BS97" s="302"/>
      <c r="BT97" s="302"/>
      <c r="BU97" s="302"/>
    </row>
    <row r="98" spans="1:73">
      <c r="A98" s="325"/>
      <c r="B98" s="394"/>
      <c r="C98" s="394"/>
      <c r="D98" s="326"/>
      <c r="E98" s="326"/>
      <c r="F98" s="395">
        <f t="shared" si="74"/>
        <v>0</v>
      </c>
      <c r="G98" s="394"/>
      <c r="H98" s="396">
        <f t="shared" si="75"/>
        <v>0</v>
      </c>
      <c r="I98" s="396">
        <v>0</v>
      </c>
      <c r="J98" s="397"/>
      <c r="K98" s="398"/>
      <c r="L98" s="399">
        <f t="shared" si="76"/>
        <v>0</v>
      </c>
      <c r="M98" s="395">
        <f t="shared" si="77"/>
        <v>0</v>
      </c>
      <c r="N98" s="400">
        <f t="shared" si="78"/>
        <v>0</v>
      </c>
      <c r="O98" s="365"/>
      <c r="P98" s="401">
        <f t="shared" si="79"/>
        <v>0</v>
      </c>
      <c r="Q98" s="302"/>
      <c r="R98" s="302"/>
      <c r="S98" s="302"/>
      <c r="T98" s="302"/>
      <c r="U98" s="302"/>
      <c r="V98" s="302"/>
      <c r="W98" s="302"/>
      <c r="X98" s="302"/>
      <c r="Y98" s="302"/>
      <c r="Z98" s="302"/>
      <c r="AA98" s="302"/>
      <c r="AB98" s="302"/>
      <c r="AC98" s="302"/>
      <c r="AD98" s="302"/>
      <c r="AE98" s="302"/>
      <c r="AF98" s="302"/>
      <c r="AG98" s="391">
        <v>0</v>
      </c>
      <c r="AH98" s="392">
        <v>0</v>
      </c>
      <c r="AI98" s="392">
        <v>0</v>
      </c>
      <c r="AJ98" s="392">
        <v>0</v>
      </c>
      <c r="AK98" s="392">
        <v>0</v>
      </c>
      <c r="AL98" s="392">
        <v>0</v>
      </c>
      <c r="AM98" s="392">
        <v>0</v>
      </c>
      <c r="AN98" s="392">
        <v>0</v>
      </c>
      <c r="AO98" s="392">
        <v>0</v>
      </c>
      <c r="AP98" s="393">
        <v>0</v>
      </c>
      <c r="AQ98" s="391">
        <f t="shared" si="80"/>
        <v>0</v>
      </c>
      <c r="AR98" s="392">
        <f t="shared" si="81"/>
        <v>0</v>
      </c>
      <c r="AS98" s="392">
        <f t="shared" si="82"/>
        <v>0</v>
      </c>
      <c r="AT98" s="392">
        <f t="shared" si="83"/>
        <v>0</v>
      </c>
      <c r="AU98" s="392">
        <f t="shared" si="84"/>
        <v>0</v>
      </c>
      <c r="AV98" s="392">
        <f t="shared" si="85"/>
        <v>0</v>
      </c>
      <c r="AW98" s="392">
        <f t="shared" si="86"/>
        <v>0</v>
      </c>
      <c r="AX98" s="392">
        <f t="shared" si="87"/>
        <v>0</v>
      </c>
      <c r="AY98" s="392">
        <f t="shared" si="88"/>
        <v>0</v>
      </c>
      <c r="AZ98" s="393">
        <f t="shared" si="89"/>
        <v>0</v>
      </c>
      <c r="BA98" s="302"/>
      <c r="BB98" s="302"/>
      <c r="BC98" s="302"/>
      <c r="BD98" s="302"/>
      <c r="BE98" s="302"/>
      <c r="BF98" s="302"/>
      <c r="BG98" s="302"/>
      <c r="BH98" s="302"/>
      <c r="BI98" s="302"/>
      <c r="BJ98" s="302"/>
      <c r="BK98" s="302"/>
      <c r="BL98" s="302"/>
      <c r="BM98" s="302"/>
      <c r="BN98" s="302"/>
      <c r="BO98" s="302"/>
      <c r="BP98" s="302"/>
      <c r="BQ98" s="302"/>
      <c r="BR98" s="302"/>
      <c r="BS98" s="302"/>
      <c r="BT98" s="302"/>
      <c r="BU98" s="302"/>
    </row>
    <row r="99" spans="1:73">
      <c r="A99" s="325"/>
      <c r="B99" s="394"/>
      <c r="C99" s="394"/>
      <c r="D99" s="326"/>
      <c r="E99" s="326"/>
      <c r="F99" s="395">
        <f t="shared" si="74"/>
        <v>0</v>
      </c>
      <c r="G99" s="394"/>
      <c r="H99" s="396">
        <f t="shared" si="75"/>
        <v>0</v>
      </c>
      <c r="I99" s="396">
        <v>0</v>
      </c>
      <c r="J99" s="397"/>
      <c r="K99" s="398"/>
      <c r="L99" s="399">
        <f t="shared" si="76"/>
        <v>0</v>
      </c>
      <c r="M99" s="395">
        <f t="shared" si="77"/>
        <v>0</v>
      </c>
      <c r="N99" s="400">
        <f t="shared" si="78"/>
        <v>0</v>
      </c>
      <c r="O99" s="365"/>
      <c r="P99" s="401">
        <f t="shared" si="79"/>
        <v>0</v>
      </c>
      <c r="Q99" s="302"/>
      <c r="R99" s="302"/>
      <c r="S99" s="302"/>
      <c r="T99" s="302"/>
      <c r="U99" s="302"/>
      <c r="V99" s="302"/>
      <c r="W99" s="302"/>
      <c r="X99" s="302"/>
      <c r="Y99" s="302"/>
      <c r="Z99" s="302"/>
      <c r="AA99" s="302"/>
      <c r="AB99" s="302"/>
      <c r="AC99" s="302"/>
      <c r="AD99" s="302"/>
      <c r="AE99" s="302"/>
      <c r="AF99" s="302"/>
      <c r="AG99" s="391">
        <v>0</v>
      </c>
      <c r="AH99" s="392">
        <v>0</v>
      </c>
      <c r="AI99" s="392">
        <v>0</v>
      </c>
      <c r="AJ99" s="392">
        <v>0</v>
      </c>
      <c r="AK99" s="392">
        <v>0</v>
      </c>
      <c r="AL99" s="392">
        <v>0</v>
      </c>
      <c r="AM99" s="392">
        <v>0</v>
      </c>
      <c r="AN99" s="392">
        <v>0</v>
      </c>
      <c r="AO99" s="392">
        <v>0</v>
      </c>
      <c r="AP99" s="393">
        <v>0</v>
      </c>
      <c r="AQ99" s="391">
        <f t="shared" si="80"/>
        <v>0</v>
      </c>
      <c r="AR99" s="392">
        <f t="shared" si="81"/>
        <v>0</v>
      </c>
      <c r="AS99" s="392">
        <f t="shared" si="82"/>
        <v>0</v>
      </c>
      <c r="AT99" s="392">
        <f t="shared" si="83"/>
        <v>0</v>
      </c>
      <c r="AU99" s="392">
        <f t="shared" si="84"/>
        <v>0</v>
      </c>
      <c r="AV99" s="392">
        <f t="shared" si="85"/>
        <v>0</v>
      </c>
      <c r="AW99" s="392">
        <f t="shared" si="86"/>
        <v>0</v>
      </c>
      <c r="AX99" s="392">
        <f t="shared" si="87"/>
        <v>0</v>
      </c>
      <c r="AY99" s="392">
        <f t="shared" si="88"/>
        <v>0</v>
      </c>
      <c r="AZ99" s="393">
        <f t="shared" si="89"/>
        <v>0</v>
      </c>
      <c r="BA99" s="302"/>
      <c r="BB99" s="302"/>
      <c r="BC99" s="302"/>
      <c r="BD99" s="302"/>
      <c r="BE99" s="302"/>
      <c r="BF99" s="302"/>
      <c r="BG99" s="302"/>
      <c r="BH99" s="302"/>
      <c r="BI99" s="302"/>
      <c r="BJ99" s="302"/>
      <c r="BK99" s="302"/>
      <c r="BL99" s="302"/>
      <c r="BM99" s="302"/>
      <c r="BN99" s="302"/>
      <c r="BO99" s="302"/>
      <c r="BP99" s="302"/>
      <c r="BQ99" s="302"/>
      <c r="BR99" s="302"/>
      <c r="BS99" s="302"/>
      <c r="BT99" s="302"/>
      <c r="BU99" s="302"/>
    </row>
    <row r="100" spans="1:73">
      <c r="A100" s="325"/>
      <c r="B100" s="394"/>
      <c r="C100" s="394"/>
      <c r="D100" s="326"/>
      <c r="E100" s="326"/>
      <c r="F100" s="395">
        <f t="shared" si="74"/>
        <v>0</v>
      </c>
      <c r="G100" s="394"/>
      <c r="H100" s="396">
        <f t="shared" si="75"/>
        <v>0</v>
      </c>
      <c r="I100" s="396">
        <v>0</v>
      </c>
      <c r="J100" s="397"/>
      <c r="K100" s="398"/>
      <c r="L100" s="399">
        <f t="shared" si="76"/>
        <v>0</v>
      </c>
      <c r="M100" s="395">
        <f t="shared" si="77"/>
        <v>0</v>
      </c>
      <c r="N100" s="400">
        <f t="shared" si="78"/>
        <v>0</v>
      </c>
      <c r="O100" s="365"/>
      <c r="P100" s="401">
        <f t="shared" si="79"/>
        <v>0</v>
      </c>
      <c r="Q100" s="302"/>
      <c r="R100" s="302"/>
      <c r="S100" s="302"/>
      <c r="T100" s="302"/>
      <c r="U100" s="302"/>
      <c r="V100" s="302"/>
      <c r="W100" s="302"/>
      <c r="X100" s="302"/>
      <c r="Y100" s="302"/>
      <c r="Z100" s="302"/>
      <c r="AA100" s="302"/>
      <c r="AB100" s="302"/>
      <c r="AC100" s="302"/>
      <c r="AD100" s="302"/>
      <c r="AE100" s="302"/>
      <c r="AF100" s="302"/>
      <c r="AG100" s="391">
        <v>0</v>
      </c>
      <c r="AH100" s="392">
        <v>0</v>
      </c>
      <c r="AI100" s="392">
        <v>0</v>
      </c>
      <c r="AJ100" s="392">
        <v>0</v>
      </c>
      <c r="AK100" s="392">
        <v>0</v>
      </c>
      <c r="AL100" s="392">
        <v>0</v>
      </c>
      <c r="AM100" s="392">
        <v>0</v>
      </c>
      <c r="AN100" s="392">
        <v>0</v>
      </c>
      <c r="AO100" s="392">
        <v>0</v>
      </c>
      <c r="AP100" s="393">
        <v>0</v>
      </c>
      <c r="AQ100" s="391">
        <f t="shared" si="80"/>
        <v>0</v>
      </c>
      <c r="AR100" s="392">
        <f t="shared" si="81"/>
        <v>0</v>
      </c>
      <c r="AS100" s="392">
        <f t="shared" si="82"/>
        <v>0</v>
      </c>
      <c r="AT100" s="392">
        <f t="shared" si="83"/>
        <v>0</v>
      </c>
      <c r="AU100" s="392">
        <f t="shared" si="84"/>
        <v>0</v>
      </c>
      <c r="AV100" s="392">
        <f t="shared" si="85"/>
        <v>0</v>
      </c>
      <c r="AW100" s="392">
        <f t="shared" si="86"/>
        <v>0</v>
      </c>
      <c r="AX100" s="392">
        <f t="shared" si="87"/>
        <v>0</v>
      </c>
      <c r="AY100" s="392">
        <f t="shared" si="88"/>
        <v>0</v>
      </c>
      <c r="AZ100" s="393">
        <f t="shared" si="89"/>
        <v>0</v>
      </c>
      <c r="BA100" s="302"/>
      <c r="BB100" s="302"/>
      <c r="BC100" s="302"/>
      <c r="BD100" s="302"/>
      <c r="BE100" s="302"/>
      <c r="BF100" s="302"/>
      <c r="BG100" s="302"/>
      <c r="BH100" s="302"/>
      <c r="BI100" s="302"/>
      <c r="BJ100" s="302"/>
      <c r="BK100" s="302"/>
      <c r="BL100" s="302"/>
      <c r="BM100" s="302"/>
      <c r="BN100" s="302"/>
      <c r="BO100" s="302"/>
      <c r="BP100" s="302"/>
      <c r="BQ100" s="302"/>
      <c r="BR100" s="302"/>
      <c r="BS100" s="302"/>
      <c r="BT100" s="302"/>
      <c r="BU100" s="302"/>
    </row>
    <row r="101" spans="1:73">
      <c r="A101" s="325"/>
      <c r="B101" s="394"/>
      <c r="C101" s="394"/>
      <c r="D101" s="326"/>
      <c r="E101" s="326"/>
      <c r="F101" s="395">
        <f t="shared" si="74"/>
        <v>0</v>
      </c>
      <c r="G101" s="394"/>
      <c r="H101" s="396">
        <f t="shared" si="75"/>
        <v>0</v>
      </c>
      <c r="I101" s="396">
        <v>0</v>
      </c>
      <c r="J101" s="397"/>
      <c r="K101" s="398"/>
      <c r="L101" s="399">
        <f t="shared" si="76"/>
        <v>0</v>
      </c>
      <c r="M101" s="395">
        <f t="shared" si="77"/>
        <v>0</v>
      </c>
      <c r="N101" s="400">
        <f t="shared" si="78"/>
        <v>0</v>
      </c>
      <c r="O101" s="365"/>
      <c r="P101" s="401">
        <f t="shared" si="79"/>
        <v>0</v>
      </c>
      <c r="Q101" s="302"/>
      <c r="R101" s="302"/>
      <c r="S101" s="302"/>
      <c r="T101" s="302"/>
      <c r="U101" s="302"/>
      <c r="V101" s="302"/>
      <c r="W101" s="302"/>
      <c r="X101" s="302"/>
      <c r="Y101" s="302"/>
      <c r="Z101" s="302"/>
      <c r="AA101" s="302"/>
      <c r="AB101" s="302"/>
      <c r="AC101" s="302"/>
      <c r="AD101" s="302"/>
      <c r="AE101" s="302"/>
      <c r="AF101" s="302"/>
      <c r="AG101" s="391">
        <v>0</v>
      </c>
      <c r="AH101" s="392">
        <v>0</v>
      </c>
      <c r="AI101" s="392">
        <v>0</v>
      </c>
      <c r="AJ101" s="392">
        <v>0</v>
      </c>
      <c r="AK101" s="392">
        <v>0</v>
      </c>
      <c r="AL101" s="392">
        <v>0</v>
      </c>
      <c r="AM101" s="392">
        <v>0</v>
      </c>
      <c r="AN101" s="392">
        <v>0</v>
      </c>
      <c r="AO101" s="392">
        <v>0</v>
      </c>
      <c r="AP101" s="393">
        <v>0</v>
      </c>
      <c r="AQ101" s="391">
        <f t="shared" si="80"/>
        <v>0</v>
      </c>
      <c r="AR101" s="392">
        <f t="shared" si="81"/>
        <v>0</v>
      </c>
      <c r="AS101" s="392">
        <f t="shared" si="82"/>
        <v>0</v>
      </c>
      <c r="AT101" s="392">
        <f t="shared" si="83"/>
        <v>0</v>
      </c>
      <c r="AU101" s="392">
        <f t="shared" si="84"/>
        <v>0</v>
      </c>
      <c r="AV101" s="392">
        <f t="shared" si="85"/>
        <v>0</v>
      </c>
      <c r="AW101" s="392">
        <f t="shared" si="86"/>
        <v>0</v>
      </c>
      <c r="AX101" s="392">
        <f t="shared" si="87"/>
        <v>0</v>
      </c>
      <c r="AY101" s="392">
        <f t="shared" si="88"/>
        <v>0</v>
      </c>
      <c r="AZ101" s="393">
        <f t="shared" si="89"/>
        <v>0</v>
      </c>
      <c r="BA101" s="302"/>
      <c r="BB101" s="302"/>
      <c r="BC101" s="302"/>
      <c r="BD101" s="302"/>
      <c r="BE101" s="302"/>
      <c r="BF101" s="302"/>
      <c r="BG101" s="302"/>
      <c r="BH101" s="302"/>
      <c r="BI101" s="302"/>
      <c r="BJ101" s="302"/>
      <c r="BK101" s="302"/>
      <c r="BL101" s="302"/>
      <c r="BM101" s="302"/>
      <c r="BN101" s="302"/>
      <c r="BO101" s="302"/>
      <c r="BP101" s="302"/>
      <c r="BQ101" s="302"/>
      <c r="BR101" s="302"/>
      <c r="BS101" s="302"/>
      <c r="BT101" s="302"/>
      <c r="BU101" s="302"/>
    </row>
    <row r="102" spans="1:73" ht="14" thickBot="1">
      <c r="A102" s="348"/>
      <c r="B102" s="417"/>
      <c r="C102" s="417"/>
      <c r="D102" s="349"/>
      <c r="E102" s="349"/>
      <c r="F102" s="418">
        <f t="shared" si="74"/>
        <v>0</v>
      </c>
      <c r="G102" s="417"/>
      <c r="H102" s="419">
        <f t="shared" si="75"/>
        <v>0</v>
      </c>
      <c r="I102" s="419">
        <v>0</v>
      </c>
      <c r="J102" s="372"/>
      <c r="K102" s="420"/>
      <c r="L102" s="421">
        <f t="shared" si="76"/>
        <v>0</v>
      </c>
      <c r="M102" s="418">
        <f t="shared" si="77"/>
        <v>0</v>
      </c>
      <c r="N102" s="422">
        <f t="shared" si="78"/>
        <v>0</v>
      </c>
      <c r="O102" s="371"/>
      <c r="P102" s="423">
        <f t="shared" si="79"/>
        <v>0</v>
      </c>
      <c r="Q102" s="302"/>
      <c r="R102" s="302"/>
      <c r="S102" s="302"/>
      <c r="T102" s="302"/>
      <c r="U102" s="302"/>
      <c r="V102" s="302"/>
      <c r="W102" s="302"/>
      <c r="X102" s="302"/>
      <c r="Y102" s="302"/>
      <c r="Z102" s="302"/>
      <c r="AA102" s="302"/>
      <c r="AB102" s="302"/>
      <c r="AC102" s="302"/>
      <c r="AD102" s="302"/>
      <c r="AE102" s="302"/>
      <c r="AF102" s="302"/>
      <c r="AG102" s="424">
        <v>0</v>
      </c>
      <c r="AH102" s="425">
        <v>0</v>
      </c>
      <c r="AI102" s="425">
        <v>0</v>
      </c>
      <c r="AJ102" s="425">
        <v>0</v>
      </c>
      <c r="AK102" s="425">
        <v>0</v>
      </c>
      <c r="AL102" s="425">
        <v>0</v>
      </c>
      <c r="AM102" s="425">
        <v>0</v>
      </c>
      <c r="AN102" s="425">
        <v>0</v>
      </c>
      <c r="AO102" s="425">
        <v>0</v>
      </c>
      <c r="AP102" s="426">
        <v>0</v>
      </c>
      <c r="AQ102" s="424">
        <f t="shared" si="80"/>
        <v>0</v>
      </c>
      <c r="AR102" s="425">
        <f t="shared" si="81"/>
        <v>0</v>
      </c>
      <c r="AS102" s="425">
        <f t="shared" si="82"/>
        <v>0</v>
      </c>
      <c r="AT102" s="425">
        <f t="shared" si="83"/>
        <v>0</v>
      </c>
      <c r="AU102" s="425">
        <f t="shared" si="84"/>
        <v>0</v>
      </c>
      <c r="AV102" s="425">
        <f t="shared" si="85"/>
        <v>0</v>
      </c>
      <c r="AW102" s="425">
        <f t="shared" si="86"/>
        <v>0</v>
      </c>
      <c r="AX102" s="425">
        <f t="shared" si="87"/>
        <v>0</v>
      </c>
      <c r="AY102" s="425">
        <f t="shared" si="88"/>
        <v>0</v>
      </c>
      <c r="AZ102" s="426">
        <f t="shared" si="89"/>
        <v>0</v>
      </c>
      <c r="BA102" s="302"/>
      <c r="BB102" s="302"/>
      <c r="BC102" s="302"/>
      <c r="BD102" s="302"/>
      <c r="BE102" s="302"/>
      <c r="BF102" s="302"/>
      <c r="BG102" s="302"/>
      <c r="BH102" s="302"/>
      <c r="BI102" s="302"/>
      <c r="BJ102" s="302"/>
      <c r="BK102" s="302"/>
      <c r="BL102" s="302"/>
      <c r="BM102" s="302"/>
      <c r="BN102" s="302"/>
      <c r="BO102" s="302"/>
      <c r="BP102" s="302"/>
      <c r="BQ102" s="302"/>
      <c r="BR102" s="302"/>
      <c r="BS102" s="302"/>
      <c r="BT102" s="302"/>
      <c r="BU102" s="302"/>
    </row>
    <row r="103" spans="1:73" s="342" customFormat="1" ht="20" customHeight="1">
      <c r="A103" s="427">
        <f>SUM(A51:A102)</f>
        <v>0</v>
      </c>
      <c r="B103" s="428">
        <f>SUM(B51:B102)</f>
        <v>3</v>
      </c>
      <c r="C103" s="428"/>
      <c r="D103" s="428"/>
      <c r="E103" s="428"/>
      <c r="F103" s="428"/>
      <c r="G103" s="428"/>
      <c r="H103" s="429">
        <f>SUM(H51:H102)</f>
        <v>88363</v>
      </c>
      <c r="I103" s="429">
        <f>SUM(I51:I102)</f>
        <v>35280</v>
      </c>
      <c r="J103" s="428"/>
      <c r="K103" s="428"/>
      <c r="L103" s="430">
        <f>ROUND(SUM(L51:L102),0)</f>
        <v>103</v>
      </c>
      <c r="M103" s="430">
        <f>ROUND(SUM(M51:M102),0)</f>
        <v>103</v>
      </c>
      <c r="N103" s="430">
        <f>ROUND(SUM(N51:N102),0)</f>
        <v>63</v>
      </c>
      <c r="O103" s="428"/>
      <c r="P103" s="431">
        <f>ROUND(SUM(P51:P102),0)</f>
        <v>0</v>
      </c>
      <c r="Q103" s="324"/>
      <c r="R103" s="324"/>
      <c r="S103" s="324"/>
      <c r="T103" s="324"/>
      <c r="U103" s="324"/>
      <c r="V103" s="324"/>
      <c r="W103" s="324"/>
      <c r="X103" s="324"/>
      <c r="Y103" s="324"/>
      <c r="Z103" s="324"/>
      <c r="AA103" s="324"/>
      <c r="AB103" s="324"/>
      <c r="AC103" s="324"/>
      <c r="AD103" s="324"/>
      <c r="AE103" s="324"/>
      <c r="AF103" s="324"/>
      <c r="AG103" s="324"/>
      <c r="AH103" s="324"/>
      <c r="AI103" s="324"/>
      <c r="AJ103" s="324"/>
      <c r="AK103" s="324"/>
      <c r="AL103" s="324"/>
      <c r="AM103" s="324"/>
      <c r="AN103" s="324"/>
      <c r="AO103" s="324"/>
      <c r="AP103" s="324"/>
      <c r="AQ103" s="324"/>
      <c r="AR103" s="324"/>
      <c r="AS103" s="324"/>
      <c r="AT103" s="324"/>
      <c r="AU103" s="324"/>
      <c r="AV103" s="324"/>
      <c r="AW103" s="324"/>
      <c r="AX103" s="324"/>
      <c r="AY103" s="324"/>
      <c r="AZ103" s="324"/>
      <c r="BA103" s="324"/>
      <c r="BB103" s="324"/>
      <c r="BC103" s="324"/>
      <c r="BD103" s="324"/>
      <c r="BE103" s="324"/>
      <c r="BF103" s="324"/>
      <c r="BG103" s="324"/>
      <c r="BH103" s="324"/>
      <c r="BI103" s="324"/>
      <c r="BJ103" s="324"/>
      <c r="BK103" s="324"/>
      <c r="BL103" s="324"/>
      <c r="BM103" s="324"/>
      <c r="BN103" s="324"/>
      <c r="BO103" s="324"/>
      <c r="BP103" s="324"/>
      <c r="BQ103" s="324"/>
      <c r="BR103" s="324"/>
      <c r="BS103" s="324"/>
      <c r="BT103" s="324"/>
      <c r="BU103" s="324"/>
    </row>
    <row r="104" spans="1:73" s="342" customFormat="1" ht="20" customHeight="1">
      <c r="A104" s="427"/>
      <c r="B104" s="428"/>
      <c r="C104" s="428"/>
      <c r="D104" s="428"/>
      <c r="E104" s="428"/>
      <c r="F104" s="428"/>
      <c r="G104" s="428"/>
      <c r="H104" s="432">
        <f>I103</f>
        <v>35280</v>
      </c>
      <c r="I104" s="428"/>
      <c r="J104" s="428"/>
      <c r="K104" s="428"/>
      <c r="L104" s="428"/>
      <c r="M104" s="428"/>
      <c r="N104" s="428"/>
      <c r="O104" s="428" t="s">
        <v>108</v>
      </c>
      <c r="P104" s="431" t="e">
        <f>ROUND(P103/A103,-1)</f>
        <v>#DIV/0!</v>
      </c>
      <c r="Q104" s="324"/>
      <c r="R104" s="324"/>
      <c r="S104" s="324"/>
      <c r="T104" s="324"/>
      <c r="U104" s="324"/>
      <c r="V104" s="324"/>
      <c r="W104" s="324"/>
      <c r="X104" s="324"/>
      <c r="Y104" s="324"/>
      <c r="Z104" s="324"/>
      <c r="AA104" s="324"/>
      <c r="AB104" s="324"/>
      <c r="AC104" s="324"/>
      <c r="AD104" s="324"/>
      <c r="AE104" s="324"/>
      <c r="AF104" s="324"/>
      <c r="AG104" s="324"/>
      <c r="AH104" s="324"/>
      <c r="AI104" s="324"/>
      <c r="AJ104" s="324"/>
      <c r="AK104" s="324"/>
      <c r="AL104" s="324"/>
      <c r="AM104" s="324"/>
      <c r="AN104" s="324"/>
      <c r="AO104" s="324"/>
      <c r="AP104" s="324"/>
      <c r="AQ104" s="324"/>
      <c r="AR104" s="324"/>
      <c r="AS104" s="324"/>
      <c r="AT104" s="324"/>
      <c r="AU104" s="324"/>
      <c r="AV104" s="324"/>
      <c r="AW104" s="324"/>
      <c r="AX104" s="324"/>
      <c r="AY104" s="324"/>
      <c r="AZ104" s="324"/>
      <c r="BA104" s="324"/>
      <c r="BB104" s="324"/>
      <c r="BC104" s="324"/>
      <c r="BD104" s="324"/>
      <c r="BE104" s="324"/>
      <c r="BF104" s="324"/>
      <c r="BG104" s="324"/>
      <c r="BH104" s="324"/>
      <c r="BI104" s="324"/>
      <c r="BJ104" s="324"/>
      <c r="BK104" s="324"/>
      <c r="BL104" s="324"/>
      <c r="BM104" s="324"/>
      <c r="BN104" s="324"/>
      <c r="BO104" s="324"/>
      <c r="BP104" s="324"/>
      <c r="BQ104" s="324"/>
      <c r="BR104" s="324"/>
      <c r="BS104" s="324"/>
      <c r="BT104" s="324"/>
      <c r="BU104" s="324"/>
    </row>
    <row r="105" spans="1:73" s="342" customFormat="1" ht="20" customHeight="1">
      <c r="A105" s="427"/>
      <c r="B105" s="428"/>
      <c r="C105" s="428"/>
      <c r="D105" s="428"/>
      <c r="E105" s="428"/>
      <c r="F105" s="428"/>
      <c r="G105" s="428" t="s">
        <v>109</v>
      </c>
      <c r="H105" s="429">
        <f>ROUND(H103-H104,-2)</f>
        <v>53100</v>
      </c>
      <c r="I105" s="428"/>
      <c r="J105" s="428"/>
      <c r="K105" s="428"/>
      <c r="L105" s="428" t="s">
        <v>3</v>
      </c>
      <c r="M105" s="428"/>
      <c r="N105" s="428"/>
      <c r="O105" s="428"/>
      <c r="P105" s="433"/>
      <c r="Q105" s="324"/>
      <c r="R105" s="324"/>
      <c r="S105" s="324"/>
      <c r="T105" s="324"/>
      <c r="U105" s="324"/>
      <c r="V105" s="324"/>
      <c r="W105" s="324"/>
      <c r="X105" s="324"/>
      <c r="Y105" s="324"/>
      <c r="Z105" s="324"/>
      <c r="AA105" s="324"/>
      <c r="AB105" s="324"/>
      <c r="AC105" s="324"/>
      <c r="AD105" s="324"/>
      <c r="AE105" s="324"/>
      <c r="AF105" s="324"/>
      <c r="AG105" s="324"/>
      <c r="AH105" s="324"/>
      <c r="AI105" s="324"/>
      <c r="AJ105" s="324"/>
      <c r="AK105" s="324"/>
      <c r="AL105" s="324"/>
      <c r="AM105" s="324"/>
      <c r="AN105" s="324"/>
      <c r="AO105" s="324"/>
      <c r="AP105" s="324"/>
      <c r="AQ105" s="324"/>
      <c r="AR105" s="324"/>
      <c r="AS105" s="324"/>
      <c r="AT105" s="324"/>
      <c r="AU105" s="324"/>
      <c r="AV105" s="324"/>
      <c r="AW105" s="324"/>
      <c r="AX105" s="324"/>
      <c r="AY105" s="324"/>
      <c r="AZ105" s="324"/>
      <c r="BA105" s="324"/>
      <c r="BB105" s="324"/>
      <c r="BC105" s="324"/>
      <c r="BD105" s="324"/>
      <c r="BE105" s="324"/>
      <c r="BF105" s="324"/>
      <c r="BG105" s="324"/>
      <c r="BH105" s="324"/>
      <c r="BI105" s="324"/>
      <c r="BJ105" s="324"/>
      <c r="BK105" s="324"/>
      <c r="BL105" s="324"/>
      <c r="BM105" s="324"/>
      <c r="BN105" s="324"/>
      <c r="BO105" s="324"/>
      <c r="BP105" s="324"/>
      <c r="BQ105" s="324"/>
      <c r="BR105" s="324"/>
      <c r="BS105" s="324"/>
      <c r="BT105" s="324"/>
      <c r="BU105" s="324"/>
    </row>
    <row r="106" spans="1:73" s="342" customFormat="1" ht="20" customHeight="1" thickBot="1">
      <c r="A106" s="427"/>
      <c r="B106" s="428"/>
      <c r="C106" s="428"/>
      <c r="D106" s="428"/>
      <c r="E106" s="428"/>
      <c r="F106" s="428"/>
      <c r="G106" s="428" t="s">
        <v>110</v>
      </c>
      <c r="H106" s="434">
        <f>COUNT(G51:G102)</f>
        <v>28</v>
      </c>
      <c r="I106" s="428"/>
      <c r="J106" s="428"/>
      <c r="K106" s="428"/>
      <c r="L106" s="428" t="s">
        <v>111</v>
      </c>
      <c r="M106" s="428"/>
      <c r="N106" s="428"/>
      <c r="O106" s="428"/>
      <c r="P106" s="433"/>
      <c r="Q106" s="324"/>
      <c r="R106" s="324"/>
      <c r="S106" s="324"/>
      <c r="T106" s="324"/>
      <c r="U106" s="324"/>
      <c r="V106" s="324"/>
      <c r="W106" s="324"/>
      <c r="X106" s="324"/>
      <c r="Y106" s="324"/>
      <c r="Z106" s="324"/>
      <c r="AA106" s="324"/>
      <c r="AB106" s="324"/>
      <c r="AC106" s="324"/>
      <c r="AD106" s="324"/>
      <c r="AE106" s="324"/>
      <c r="AF106" s="324"/>
      <c r="AG106" s="324"/>
      <c r="AH106" s="324"/>
      <c r="AI106" s="324"/>
      <c r="AJ106" s="324"/>
      <c r="AK106" s="324"/>
      <c r="AL106" s="324"/>
      <c r="AM106" s="324"/>
      <c r="AN106" s="324"/>
      <c r="AO106" s="324"/>
      <c r="AP106" s="324"/>
      <c r="AQ106" s="324"/>
      <c r="AR106" s="324"/>
      <c r="AS106" s="324"/>
      <c r="AT106" s="324"/>
      <c r="AU106" s="324"/>
      <c r="AV106" s="324"/>
      <c r="AW106" s="324"/>
      <c r="AX106" s="324"/>
      <c r="AY106" s="324"/>
      <c r="AZ106" s="324"/>
      <c r="BA106" s="324"/>
      <c r="BB106" s="324"/>
      <c r="BC106" s="324"/>
      <c r="BD106" s="324"/>
      <c r="BE106" s="324"/>
      <c r="BF106" s="324"/>
      <c r="BG106" s="324"/>
      <c r="BH106" s="324"/>
      <c r="BI106" s="324"/>
      <c r="BJ106" s="324"/>
      <c r="BK106" s="324"/>
      <c r="BL106" s="324"/>
      <c r="BM106" s="324"/>
      <c r="BN106" s="324"/>
      <c r="BO106" s="324"/>
      <c r="BP106" s="324"/>
      <c r="BQ106" s="324"/>
      <c r="BR106" s="324"/>
      <c r="BS106" s="324"/>
      <c r="BT106" s="324"/>
      <c r="BU106" s="324"/>
    </row>
    <row r="107" spans="1:73" s="342" customFormat="1" ht="20" customHeight="1" thickBot="1">
      <c r="A107" s="427"/>
      <c r="B107" s="428"/>
      <c r="C107" s="428"/>
      <c r="D107" s="428"/>
      <c r="E107" s="428"/>
      <c r="F107" s="428"/>
      <c r="G107" s="428" t="s">
        <v>112</v>
      </c>
      <c r="H107" s="435">
        <f>IF(H106&gt;0,H105/H106,0)</f>
        <v>1896.4285714285713</v>
      </c>
      <c r="I107" s="428"/>
      <c r="J107" s="428"/>
      <c r="K107" s="428"/>
      <c r="L107" s="436">
        <f>L103+AE45</f>
        <v>286</v>
      </c>
      <c r="M107" s="428"/>
      <c r="N107" s="428"/>
      <c r="O107" s="428"/>
      <c r="P107" s="433"/>
      <c r="Q107" s="324"/>
      <c r="R107" s="324"/>
      <c r="S107" s="324"/>
      <c r="T107" s="324"/>
      <c r="U107" s="324"/>
      <c r="V107" s="324"/>
      <c r="W107" s="324"/>
      <c r="X107" s="324"/>
      <c r="Y107" s="324"/>
      <c r="Z107" s="324"/>
      <c r="AA107" s="324"/>
      <c r="AB107" s="324"/>
      <c r="AC107" s="324"/>
      <c r="AD107" s="324"/>
      <c r="AE107" s="324"/>
      <c r="AF107" s="324"/>
      <c r="AG107" s="324"/>
      <c r="AH107" s="324"/>
      <c r="AI107" s="324"/>
      <c r="AJ107" s="324"/>
      <c r="AK107" s="324"/>
      <c r="AL107" s="324"/>
      <c r="AM107" s="324"/>
      <c r="AN107" s="324"/>
      <c r="AO107" s="324"/>
      <c r="AP107" s="324"/>
      <c r="AQ107" s="324"/>
      <c r="AR107" s="324"/>
      <c r="AS107" s="324"/>
      <c r="AT107" s="324"/>
      <c r="AU107" s="324"/>
      <c r="AV107" s="324"/>
      <c r="AW107" s="324"/>
      <c r="AX107" s="324"/>
      <c r="AY107" s="324"/>
      <c r="AZ107" s="324"/>
      <c r="BA107" s="324"/>
      <c r="BB107" s="324"/>
      <c r="BC107" s="324"/>
      <c r="BD107" s="324"/>
      <c r="BE107" s="324"/>
      <c r="BF107" s="324"/>
      <c r="BG107" s="324"/>
      <c r="BH107" s="324"/>
      <c r="BI107" s="324"/>
      <c r="BJ107" s="324"/>
      <c r="BK107" s="324"/>
      <c r="BL107" s="324"/>
      <c r="BM107" s="324"/>
      <c r="BN107" s="324"/>
      <c r="BO107" s="324"/>
      <c r="BP107" s="324"/>
      <c r="BQ107" s="324"/>
      <c r="BR107" s="324"/>
      <c r="BS107" s="324"/>
      <c r="BT107" s="324"/>
      <c r="BU107" s="324"/>
    </row>
    <row r="108" spans="1:73" ht="15" customHeight="1">
      <c r="A108" s="437"/>
      <c r="B108" s="324"/>
      <c r="C108" s="324"/>
      <c r="D108" s="324"/>
      <c r="E108" s="324"/>
      <c r="F108" s="324"/>
      <c r="G108" s="324"/>
      <c r="H108" s="324"/>
      <c r="I108" s="324"/>
      <c r="J108" s="324"/>
      <c r="K108" s="324"/>
      <c r="L108" s="324"/>
      <c r="M108" s="324"/>
      <c r="N108" s="324"/>
      <c r="O108" s="324"/>
      <c r="P108" s="438"/>
      <c r="Q108" s="302"/>
      <c r="R108" s="302"/>
      <c r="S108" s="302"/>
      <c r="T108" s="302"/>
      <c r="U108" s="302"/>
      <c r="V108" s="302"/>
      <c r="W108" s="302"/>
      <c r="X108" s="302"/>
      <c r="Y108" s="302"/>
      <c r="Z108" s="302"/>
      <c r="AA108" s="302"/>
      <c r="AB108" s="302"/>
      <c r="AC108" s="302"/>
      <c r="AD108" s="302"/>
      <c r="AE108" s="302"/>
      <c r="AF108" s="302"/>
      <c r="AG108" s="302"/>
      <c r="AH108" s="302"/>
      <c r="AI108" s="302"/>
      <c r="AJ108" s="302"/>
      <c r="AK108" s="302"/>
      <c r="AL108" s="302"/>
      <c r="AM108" s="302"/>
      <c r="AN108" s="302"/>
      <c r="AO108" s="302"/>
      <c r="AP108" s="302"/>
      <c r="AQ108" s="302"/>
      <c r="AR108" s="302"/>
      <c r="AS108" s="302"/>
      <c r="AT108" s="302"/>
      <c r="AU108" s="302"/>
      <c r="AV108" s="302"/>
      <c r="AW108" s="302"/>
      <c r="AX108" s="302"/>
      <c r="AY108" s="302"/>
      <c r="AZ108" s="302"/>
      <c r="BA108" s="302"/>
      <c r="BB108" s="302"/>
      <c r="BC108" s="302"/>
      <c r="BD108" s="302"/>
      <c r="BE108" s="302"/>
      <c r="BF108" s="302"/>
      <c r="BG108" s="302"/>
      <c r="BH108" s="302"/>
      <c r="BI108" s="302"/>
      <c r="BJ108" s="302"/>
      <c r="BK108" s="302"/>
      <c r="BL108" s="302"/>
      <c r="BM108" s="302"/>
      <c r="BN108" s="302"/>
      <c r="BO108" s="302"/>
      <c r="BP108" s="302"/>
      <c r="BQ108" s="302"/>
      <c r="BR108" s="302"/>
      <c r="BS108" s="302"/>
      <c r="BT108" s="302"/>
      <c r="BU108" s="302"/>
    </row>
    <row r="109" spans="1:73" ht="15" customHeight="1">
      <c r="A109" s="439"/>
      <c r="B109" s="440"/>
      <c r="C109" s="440"/>
      <c r="D109" s="440"/>
      <c r="E109" s="440"/>
      <c r="F109" s="440"/>
      <c r="G109" s="440"/>
      <c r="H109" s="440"/>
      <c r="I109" s="440"/>
      <c r="J109" s="440"/>
      <c r="K109" s="440"/>
      <c r="L109" s="440"/>
      <c r="M109" s="440"/>
      <c r="N109" s="440"/>
      <c r="O109" s="440"/>
      <c r="P109" s="441"/>
      <c r="Q109" s="302"/>
      <c r="R109" s="302"/>
      <c r="S109" s="302"/>
      <c r="T109" s="302"/>
      <c r="U109" s="302"/>
      <c r="V109" s="302"/>
      <c r="W109" s="302"/>
      <c r="X109" s="302"/>
      <c r="Y109" s="302"/>
      <c r="Z109" s="302"/>
      <c r="AA109" s="302"/>
      <c r="AB109" s="302"/>
      <c r="AC109" s="302"/>
      <c r="AD109" s="302"/>
      <c r="AE109" s="302"/>
      <c r="AF109" s="302"/>
      <c r="AG109" s="302"/>
      <c r="AH109" s="302"/>
      <c r="AI109" s="302"/>
      <c r="AJ109" s="302"/>
      <c r="AK109" s="302"/>
      <c r="AL109" s="302"/>
      <c r="AM109" s="302"/>
      <c r="AN109" s="302"/>
      <c r="AO109" s="302"/>
      <c r="AP109" s="302"/>
      <c r="AQ109" s="302"/>
      <c r="AR109" s="302"/>
      <c r="AS109" s="302"/>
      <c r="AT109" s="302"/>
      <c r="AU109" s="302"/>
      <c r="AV109" s="302"/>
      <c r="AW109" s="302"/>
      <c r="AX109" s="302"/>
      <c r="AY109" s="302"/>
      <c r="AZ109" s="302"/>
      <c r="BA109" s="302"/>
      <c r="BB109" s="302"/>
      <c r="BC109" s="302"/>
      <c r="BD109" s="302"/>
      <c r="BE109" s="302"/>
      <c r="BF109" s="302"/>
      <c r="BG109" s="302"/>
      <c r="BH109" s="302"/>
      <c r="BI109" s="302"/>
      <c r="BJ109" s="302"/>
      <c r="BK109" s="302"/>
      <c r="BL109" s="302"/>
      <c r="BM109" s="302"/>
      <c r="BN109" s="302"/>
      <c r="BO109" s="302"/>
      <c r="BP109" s="302"/>
      <c r="BQ109" s="302"/>
      <c r="BR109" s="302"/>
      <c r="BS109" s="302"/>
      <c r="BT109" s="302"/>
      <c r="BU109" s="302"/>
    </row>
    <row r="110" spans="1:73" ht="14" thickBot="1">
      <c r="A110" s="302"/>
      <c r="B110" s="302"/>
      <c r="C110" s="302"/>
      <c r="D110" s="302"/>
      <c r="E110" s="302"/>
      <c r="F110" s="302"/>
      <c r="G110" s="302"/>
      <c r="H110" s="302"/>
      <c r="I110" s="302"/>
      <c r="J110" s="302"/>
      <c r="K110" s="302"/>
      <c r="L110" s="302"/>
      <c r="M110" s="302"/>
      <c r="N110" s="302"/>
      <c r="O110" s="302"/>
      <c r="P110" s="302"/>
      <c r="Q110" s="302"/>
      <c r="R110" s="302"/>
      <c r="S110" s="302"/>
      <c r="T110" s="302"/>
      <c r="U110" s="302"/>
      <c r="V110" s="302"/>
      <c r="W110" s="302"/>
      <c r="X110" s="302"/>
      <c r="Y110" s="302"/>
      <c r="Z110" s="302"/>
      <c r="AA110" s="302"/>
      <c r="AB110" s="302"/>
      <c r="AC110" s="302"/>
      <c r="AD110" s="302"/>
      <c r="AE110" s="302"/>
      <c r="AF110" s="302"/>
      <c r="AG110" s="302"/>
      <c r="AH110" s="302"/>
      <c r="AI110" s="302"/>
      <c r="AJ110" s="302"/>
      <c r="AK110" s="302"/>
      <c r="AL110" s="302"/>
      <c r="AM110" s="302"/>
      <c r="AN110" s="302"/>
      <c r="AO110" s="302"/>
      <c r="AP110" s="302"/>
      <c r="AQ110" s="302"/>
      <c r="AR110" s="302"/>
      <c r="AS110" s="302"/>
      <c r="AT110" s="302"/>
      <c r="AU110" s="302"/>
      <c r="AV110" s="302"/>
      <c r="AW110" s="302"/>
      <c r="AX110" s="302"/>
      <c r="AY110" s="302"/>
      <c r="AZ110" s="302"/>
      <c r="BA110" s="302"/>
      <c r="BB110" s="302"/>
      <c r="BC110" s="302"/>
      <c r="BD110" s="302"/>
      <c r="BE110" s="302"/>
      <c r="BF110" s="302"/>
      <c r="BG110" s="302"/>
      <c r="BH110" s="302"/>
      <c r="BI110" s="302"/>
      <c r="BJ110" s="302"/>
      <c r="BK110" s="302"/>
      <c r="BL110" s="302"/>
      <c r="BM110" s="302"/>
      <c r="BN110" s="302"/>
      <c r="BO110" s="302"/>
      <c r="BP110" s="302"/>
      <c r="BQ110" s="302"/>
      <c r="BR110" s="302"/>
      <c r="BS110" s="302"/>
      <c r="BT110" s="302"/>
      <c r="BU110" s="302"/>
    </row>
    <row r="111" spans="1:73">
      <c r="A111" s="442" t="s">
        <v>363</v>
      </c>
      <c r="B111" s="443"/>
      <c r="C111" s="443"/>
      <c r="D111" s="443"/>
      <c r="E111" s="444" t="s">
        <v>364</v>
      </c>
      <c r="F111" s="443"/>
      <c r="G111" s="443"/>
      <c r="H111" s="443"/>
      <c r="I111" s="443"/>
      <c r="J111" s="443"/>
      <c r="K111" s="443"/>
      <c r="L111" s="443"/>
      <c r="M111" s="443"/>
      <c r="N111" s="443"/>
      <c r="O111" s="444" t="s">
        <v>365</v>
      </c>
      <c r="P111" s="443"/>
      <c r="Q111" s="443"/>
      <c r="R111" s="443"/>
      <c r="S111" s="443"/>
      <c r="T111" s="443"/>
      <c r="U111" s="445"/>
      <c r="V111" s="302"/>
      <c r="W111" s="302"/>
      <c r="X111" s="302"/>
      <c r="Y111" s="302"/>
      <c r="Z111" s="302"/>
      <c r="AA111" s="302"/>
      <c r="AB111" s="302"/>
      <c r="AC111" s="302"/>
      <c r="AD111" s="302"/>
      <c r="AE111" s="302"/>
      <c r="AF111" s="302"/>
      <c r="AG111" s="302"/>
      <c r="AH111" s="302"/>
      <c r="AI111" s="302"/>
      <c r="AJ111" s="302"/>
      <c r="AK111" s="302"/>
      <c r="AL111" s="302"/>
      <c r="AM111" s="302"/>
      <c r="AN111" s="302"/>
      <c r="AO111" s="302"/>
      <c r="AP111" s="302"/>
      <c r="AQ111" s="302"/>
      <c r="AR111" s="302"/>
      <c r="AS111" s="302"/>
      <c r="AT111" s="302"/>
      <c r="AU111" s="302"/>
      <c r="AV111" s="302"/>
      <c r="AW111" s="302"/>
      <c r="AX111" s="302"/>
      <c r="AY111" s="302"/>
      <c r="AZ111" s="302"/>
      <c r="BA111" s="302"/>
      <c r="BB111" s="302"/>
      <c r="BC111" s="302"/>
      <c r="BD111" s="302"/>
      <c r="BE111" s="302"/>
      <c r="BF111" s="302"/>
      <c r="BG111" s="302"/>
      <c r="BH111" s="302"/>
      <c r="BI111" s="302"/>
      <c r="BJ111" s="302"/>
      <c r="BK111" s="302"/>
      <c r="BL111" s="302"/>
      <c r="BM111" s="302"/>
      <c r="BN111" s="302"/>
      <c r="BO111" s="302"/>
      <c r="BP111" s="302"/>
      <c r="BQ111" s="302"/>
      <c r="BR111" s="302"/>
      <c r="BS111" s="302"/>
      <c r="BT111" s="302"/>
      <c r="BU111" s="302"/>
    </row>
    <row r="112" spans="1:73">
      <c r="A112" s="446"/>
      <c r="U112" s="447"/>
      <c r="V112" s="302"/>
      <c r="W112" s="302"/>
      <c r="X112" s="302"/>
      <c r="Y112" s="302"/>
      <c r="Z112" s="302"/>
      <c r="AA112" s="302"/>
      <c r="AB112" s="302"/>
      <c r="AC112" s="302"/>
      <c r="AD112" s="302"/>
      <c r="AE112" s="302"/>
      <c r="AF112" s="302"/>
      <c r="AG112" s="302"/>
      <c r="AH112" s="302"/>
      <c r="AI112" s="302"/>
      <c r="AJ112" s="302"/>
      <c r="AK112" s="302"/>
      <c r="AL112" s="302"/>
      <c r="AM112" s="302"/>
      <c r="AN112" s="302"/>
      <c r="AO112" s="302"/>
      <c r="AP112" s="302"/>
      <c r="AQ112" s="302"/>
      <c r="AR112" s="302"/>
      <c r="AS112" s="302"/>
      <c r="AT112" s="302"/>
      <c r="AU112" s="302"/>
      <c r="AV112" s="302"/>
      <c r="AW112" s="302"/>
      <c r="AX112" s="302"/>
      <c r="AY112" s="302"/>
      <c r="AZ112" s="302"/>
      <c r="BA112" s="302"/>
      <c r="BB112" s="302"/>
      <c r="BC112" s="302"/>
      <c r="BD112" s="302"/>
      <c r="BE112" s="302"/>
      <c r="BF112" s="302"/>
      <c r="BG112" s="302"/>
      <c r="BH112" s="302"/>
      <c r="BI112" s="302"/>
      <c r="BJ112" s="302"/>
      <c r="BK112" s="302"/>
      <c r="BL112" s="302"/>
      <c r="BM112" s="302"/>
      <c r="BN112" s="302"/>
      <c r="BO112" s="302"/>
      <c r="BP112" s="302"/>
      <c r="BQ112" s="302"/>
      <c r="BR112" s="302"/>
      <c r="BS112" s="302"/>
      <c r="BT112" s="302"/>
      <c r="BU112" s="302"/>
    </row>
    <row r="113" spans="1:73">
      <c r="A113" s="448"/>
      <c r="O113" s="306" t="s">
        <v>366</v>
      </c>
      <c r="U113" s="447"/>
      <c r="V113" s="302"/>
      <c r="W113" s="302"/>
      <c r="X113" s="302"/>
      <c r="Y113" s="302"/>
      <c r="Z113" s="302"/>
      <c r="AA113" s="302"/>
      <c r="AB113" s="302"/>
      <c r="AC113" s="302"/>
      <c r="AD113" s="302"/>
      <c r="AE113" s="302"/>
      <c r="AF113" s="302"/>
      <c r="AG113" s="302"/>
      <c r="AH113" s="302"/>
      <c r="AI113" s="302"/>
      <c r="AJ113" s="302"/>
      <c r="AK113" s="302"/>
      <c r="AL113" s="302"/>
      <c r="AM113" s="302"/>
      <c r="AN113" s="302"/>
      <c r="AO113" s="302"/>
      <c r="AP113" s="302"/>
      <c r="AQ113" s="302"/>
      <c r="AR113" s="302"/>
      <c r="AS113" s="302"/>
      <c r="AT113" s="302"/>
      <c r="AU113" s="302"/>
      <c r="AV113" s="302"/>
      <c r="AW113" s="302"/>
      <c r="AX113" s="302"/>
      <c r="AY113" s="302"/>
      <c r="AZ113" s="302"/>
      <c r="BA113" s="302"/>
      <c r="BB113" s="302"/>
      <c r="BC113" s="302"/>
      <c r="BD113" s="302"/>
      <c r="BE113" s="302"/>
      <c r="BF113" s="302"/>
      <c r="BG113" s="302"/>
      <c r="BH113" s="302"/>
      <c r="BI113" s="302"/>
      <c r="BJ113" s="302"/>
      <c r="BK113" s="302"/>
      <c r="BL113" s="302"/>
      <c r="BM113" s="302"/>
      <c r="BN113" s="302"/>
      <c r="BO113" s="302"/>
      <c r="BP113" s="302"/>
      <c r="BQ113" s="302"/>
      <c r="BR113" s="302"/>
      <c r="BS113" s="302"/>
      <c r="BT113" s="302"/>
      <c r="BU113" s="302"/>
    </row>
    <row r="114" spans="1:73">
      <c r="A114" s="449" t="s">
        <v>367</v>
      </c>
      <c r="B114" s="450"/>
      <c r="C114" s="450" t="s">
        <v>368</v>
      </c>
      <c r="D114" s="450"/>
      <c r="E114" s="450"/>
      <c r="F114" s="450" t="s">
        <v>369</v>
      </c>
      <c r="G114" s="450"/>
      <c r="H114" s="450"/>
      <c r="I114" s="450" t="s">
        <v>370</v>
      </c>
      <c r="J114" s="450"/>
      <c r="K114" s="450" t="s">
        <v>371</v>
      </c>
      <c r="L114" s="450"/>
      <c r="M114" s="450"/>
      <c r="U114" s="447"/>
      <c r="V114" s="302"/>
      <c r="W114" s="302"/>
      <c r="X114" s="302"/>
      <c r="Y114" s="302"/>
      <c r="Z114" s="302"/>
      <c r="AA114" s="302"/>
      <c r="AB114" s="302"/>
      <c r="AC114" s="302"/>
      <c r="AD114" s="302"/>
      <c r="AE114" s="302"/>
      <c r="AF114" s="302"/>
      <c r="AG114" s="302"/>
      <c r="AH114" s="302"/>
      <c r="AI114" s="302"/>
      <c r="AJ114" s="302"/>
      <c r="AK114" s="302"/>
      <c r="AL114" s="302"/>
      <c r="AM114" s="302"/>
      <c r="AN114" s="302"/>
      <c r="AO114" s="302"/>
      <c r="AP114" s="302"/>
      <c r="AQ114" s="302"/>
      <c r="AR114" s="302"/>
      <c r="AS114" s="302"/>
      <c r="AT114" s="302"/>
      <c r="AU114" s="302"/>
      <c r="AV114" s="302"/>
      <c r="AW114" s="302"/>
      <c r="AX114" s="302"/>
      <c r="AY114" s="302"/>
      <c r="AZ114" s="302"/>
      <c r="BA114" s="302"/>
      <c r="BB114" s="302"/>
      <c r="BC114" s="302"/>
      <c r="BD114" s="302"/>
      <c r="BE114" s="302"/>
      <c r="BF114" s="302"/>
      <c r="BG114" s="302"/>
      <c r="BH114" s="302"/>
      <c r="BI114" s="302"/>
      <c r="BJ114" s="302"/>
      <c r="BK114" s="302"/>
      <c r="BL114" s="302"/>
      <c r="BM114" s="302"/>
      <c r="BN114" s="302"/>
      <c r="BO114" s="302"/>
      <c r="BP114" s="302"/>
      <c r="BQ114" s="302"/>
      <c r="BR114" s="302"/>
      <c r="BS114" s="302"/>
      <c r="BT114" s="302"/>
      <c r="BU114" s="302"/>
    </row>
    <row r="115" spans="1:73">
      <c r="A115" s="446"/>
      <c r="O115" s="306" t="s">
        <v>372</v>
      </c>
      <c r="Q115" s="306" t="s">
        <v>373</v>
      </c>
      <c r="S115" s="306" t="s">
        <v>374</v>
      </c>
      <c r="U115" s="447"/>
      <c r="V115" s="302"/>
      <c r="W115" s="302"/>
      <c r="X115" s="302"/>
      <c r="Y115" s="302"/>
      <c r="Z115" s="302"/>
      <c r="AA115" s="302"/>
      <c r="AB115" s="302"/>
      <c r="AC115" s="302"/>
      <c r="AD115" s="302"/>
      <c r="AE115" s="302"/>
      <c r="AF115" s="302"/>
      <c r="AG115" s="302"/>
      <c r="AH115" s="302"/>
      <c r="AI115" s="302"/>
      <c r="AJ115" s="302"/>
      <c r="AK115" s="302"/>
      <c r="AL115" s="302"/>
      <c r="AM115" s="302"/>
      <c r="AN115" s="302"/>
      <c r="AO115" s="302"/>
      <c r="AP115" s="302"/>
      <c r="AQ115" s="302"/>
      <c r="AR115" s="302"/>
      <c r="AS115" s="302"/>
      <c r="AT115" s="302"/>
      <c r="AU115" s="302"/>
      <c r="AV115" s="302"/>
      <c r="AW115" s="302"/>
      <c r="AX115" s="302"/>
      <c r="AY115" s="302"/>
      <c r="AZ115" s="302"/>
      <c r="BA115" s="302"/>
      <c r="BB115" s="302"/>
      <c r="BC115" s="302"/>
      <c r="BD115" s="302"/>
      <c r="BE115" s="302"/>
      <c r="BF115" s="302"/>
      <c r="BG115" s="302"/>
      <c r="BH115" s="302"/>
      <c r="BI115" s="302"/>
      <c r="BJ115" s="302"/>
      <c r="BK115" s="302"/>
      <c r="BL115" s="302"/>
      <c r="BM115" s="302"/>
      <c r="BN115" s="302"/>
      <c r="BO115" s="302"/>
      <c r="BP115" s="302"/>
      <c r="BQ115" s="302"/>
      <c r="BR115" s="302"/>
      <c r="BS115" s="302"/>
      <c r="BT115" s="302"/>
      <c r="BU115" s="302"/>
    </row>
    <row r="116" spans="1:73">
      <c r="A116" s="446"/>
      <c r="C116" s="306" t="s">
        <v>375</v>
      </c>
      <c r="D116" s="306" t="s">
        <v>376</v>
      </c>
      <c r="I116" s="451" t="s">
        <v>377</v>
      </c>
      <c r="J116" s="451" t="s">
        <v>376</v>
      </c>
      <c r="K116" s="451" t="s">
        <v>377</v>
      </c>
      <c r="L116" s="451" t="s">
        <v>376</v>
      </c>
      <c r="U116" s="447"/>
      <c r="V116" s="302"/>
      <c r="W116" s="302"/>
      <c r="X116" s="302"/>
      <c r="Y116" s="302"/>
      <c r="Z116" s="302"/>
      <c r="AA116" s="302"/>
      <c r="AB116" s="302"/>
      <c r="AC116" s="302"/>
      <c r="AD116" s="302"/>
      <c r="AE116" s="302"/>
      <c r="AF116" s="302"/>
      <c r="AG116" s="302"/>
      <c r="AH116" s="302"/>
      <c r="AI116" s="302"/>
      <c r="AJ116" s="302"/>
      <c r="AK116" s="302"/>
      <c r="AL116" s="302"/>
      <c r="AM116" s="302"/>
      <c r="AN116" s="302"/>
      <c r="AO116" s="302"/>
      <c r="AP116" s="302"/>
      <c r="AQ116" s="302"/>
      <c r="AR116" s="302"/>
      <c r="AS116" s="302"/>
      <c r="AT116" s="302"/>
      <c r="AU116" s="302"/>
      <c r="AV116" s="302"/>
      <c r="AW116" s="302"/>
      <c r="AX116" s="302"/>
      <c r="AY116" s="302"/>
      <c r="AZ116" s="302"/>
      <c r="BA116" s="302"/>
      <c r="BB116" s="302"/>
      <c r="BC116" s="302"/>
      <c r="BD116" s="302"/>
      <c r="BE116" s="302"/>
      <c r="BF116" s="302"/>
      <c r="BG116" s="302"/>
      <c r="BH116" s="302"/>
      <c r="BI116" s="302"/>
      <c r="BJ116" s="302"/>
      <c r="BK116" s="302"/>
      <c r="BL116" s="302"/>
      <c r="BM116" s="302"/>
      <c r="BN116" s="302"/>
      <c r="BO116" s="302"/>
      <c r="BP116" s="302"/>
      <c r="BQ116" s="302"/>
      <c r="BR116" s="302"/>
      <c r="BS116" s="302"/>
      <c r="BT116" s="302"/>
      <c r="BU116" s="302"/>
    </row>
    <row r="117" spans="1:73">
      <c r="A117" s="452">
        <v>225</v>
      </c>
      <c r="B117" s="453"/>
      <c r="C117" s="453">
        <v>375</v>
      </c>
      <c r="D117" s="453">
        <f t="shared" ref="D117:D128" si="90">C117*2</f>
        <v>750</v>
      </c>
      <c r="E117" s="453"/>
      <c r="F117" s="453">
        <v>600</v>
      </c>
      <c r="G117" s="453"/>
      <c r="H117" s="453"/>
      <c r="I117" s="453">
        <f t="shared" ref="I117:I128" si="91">A117+C117+F117</f>
        <v>1200</v>
      </c>
      <c r="J117" s="453">
        <f t="shared" ref="J117:J128" si="92">A117+D117+F117</f>
        <v>1575</v>
      </c>
      <c r="K117" s="454">
        <v>1200</v>
      </c>
      <c r="L117" s="455">
        <v>1800</v>
      </c>
      <c r="O117" s="306">
        <v>1500</v>
      </c>
      <c r="Q117" s="306">
        <v>1200</v>
      </c>
      <c r="S117" s="306">
        <f>730+40</f>
        <v>770</v>
      </c>
      <c r="U117" s="447"/>
      <c r="V117" s="302"/>
      <c r="W117" s="302"/>
      <c r="X117" s="302"/>
      <c r="Y117" s="302"/>
      <c r="Z117" s="302"/>
      <c r="AA117" s="302"/>
      <c r="AB117" s="302"/>
      <c r="AC117" s="302"/>
      <c r="AD117" s="302"/>
      <c r="AE117" s="302"/>
      <c r="AF117" s="302"/>
      <c r="AG117" s="302"/>
      <c r="AH117" s="302"/>
      <c r="AI117" s="302"/>
      <c r="AJ117" s="302"/>
      <c r="AK117" s="302"/>
      <c r="AL117" s="302"/>
      <c r="AM117" s="302"/>
      <c r="AN117" s="302"/>
      <c r="AO117" s="302"/>
      <c r="AP117" s="302"/>
      <c r="AQ117" s="302"/>
      <c r="AR117" s="302"/>
      <c r="AS117" s="302"/>
      <c r="AT117" s="302"/>
      <c r="AU117" s="302"/>
      <c r="AV117" s="302"/>
      <c r="AW117" s="302"/>
      <c r="AX117" s="302"/>
      <c r="AY117" s="302"/>
      <c r="AZ117" s="302"/>
      <c r="BA117" s="302"/>
      <c r="BB117" s="302"/>
      <c r="BC117" s="302"/>
      <c r="BD117" s="302"/>
      <c r="BE117" s="302"/>
      <c r="BF117" s="302"/>
      <c r="BG117" s="302"/>
      <c r="BH117" s="302"/>
      <c r="BI117" s="302"/>
      <c r="BJ117" s="302"/>
      <c r="BK117" s="302"/>
      <c r="BL117" s="302"/>
      <c r="BM117" s="302"/>
      <c r="BN117" s="302"/>
      <c r="BO117" s="302"/>
      <c r="BP117" s="302"/>
      <c r="BQ117" s="302"/>
      <c r="BR117" s="302"/>
      <c r="BS117" s="302"/>
      <c r="BT117" s="302"/>
      <c r="BU117" s="302"/>
    </row>
    <row r="118" spans="1:73">
      <c r="A118" s="456">
        <v>300</v>
      </c>
      <c r="B118" s="457"/>
      <c r="C118" s="457">
        <v>375</v>
      </c>
      <c r="D118" s="457">
        <f t="shared" si="90"/>
        <v>750</v>
      </c>
      <c r="E118" s="457"/>
      <c r="F118" s="457">
        <v>600</v>
      </c>
      <c r="G118" s="457"/>
      <c r="H118" s="457"/>
      <c r="I118" s="457">
        <f t="shared" si="91"/>
        <v>1275</v>
      </c>
      <c r="J118" s="457">
        <f t="shared" si="92"/>
        <v>1650</v>
      </c>
      <c r="K118" s="458">
        <v>1350</v>
      </c>
      <c r="L118" s="455">
        <v>1800</v>
      </c>
      <c r="O118" s="306">
        <v>1800</v>
      </c>
      <c r="Q118" s="306">
        <v>1350</v>
      </c>
      <c r="S118" s="306">
        <f>790+40</f>
        <v>830</v>
      </c>
      <c r="U118" s="447"/>
      <c r="V118" s="302"/>
      <c r="W118" s="302"/>
      <c r="X118" s="302"/>
      <c r="Y118" s="302"/>
      <c r="Z118" s="302"/>
      <c r="AA118" s="302"/>
      <c r="AB118" s="302"/>
      <c r="AC118" s="302"/>
      <c r="AD118" s="302"/>
      <c r="AE118" s="302"/>
      <c r="AF118" s="302"/>
      <c r="AG118" s="302"/>
      <c r="AH118" s="302"/>
      <c r="AI118" s="302"/>
      <c r="AJ118" s="302"/>
      <c r="AK118" s="302"/>
      <c r="AL118" s="302"/>
      <c r="AM118" s="302"/>
      <c r="AN118" s="302"/>
      <c r="AO118" s="302"/>
      <c r="AP118" s="302"/>
      <c r="AQ118" s="302"/>
      <c r="AR118" s="302"/>
      <c r="AS118" s="302"/>
      <c r="AT118" s="302"/>
      <c r="AU118" s="302"/>
      <c r="AV118" s="302"/>
      <c r="AW118" s="302"/>
      <c r="AX118" s="302"/>
      <c r="AY118" s="302"/>
      <c r="AZ118" s="302"/>
      <c r="BA118" s="302"/>
      <c r="BB118" s="302"/>
      <c r="BC118" s="302"/>
      <c r="BD118" s="302"/>
      <c r="BE118" s="302"/>
      <c r="BF118" s="302"/>
      <c r="BG118" s="302"/>
      <c r="BH118" s="302"/>
      <c r="BI118" s="302"/>
      <c r="BJ118" s="302"/>
      <c r="BK118" s="302"/>
      <c r="BL118" s="302"/>
      <c r="BM118" s="302"/>
      <c r="BN118" s="302"/>
      <c r="BO118" s="302"/>
      <c r="BP118" s="302"/>
      <c r="BQ118" s="302"/>
      <c r="BR118" s="302"/>
      <c r="BS118" s="302"/>
      <c r="BT118" s="302"/>
      <c r="BU118" s="302"/>
    </row>
    <row r="119" spans="1:73">
      <c r="A119" s="456">
        <v>375</v>
      </c>
      <c r="B119" s="457"/>
      <c r="C119" s="457">
        <v>375</v>
      </c>
      <c r="D119" s="457">
        <f t="shared" si="90"/>
        <v>750</v>
      </c>
      <c r="E119" s="457"/>
      <c r="F119" s="457">
        <v>600</v>
      </c>
      <c r="G119" s="457"/>
      <c r="H119" s="457"/>
      <c r="I119" s="457">
        <f t="shared" si="91"/>
        <v>1350</v>
      </c>
      <c r="J119" s="457">
        <f t="shared" si="92"/>
        <v>1725</v>
      </c>
      <c r="K119" s="458">
        <v>1350</v>
      </c>
      <c r="L119" s="455">
        <v>1800</v>
      </c>
      <c r="O119" s="306">
        <v>2100</v>
      </c>
      <c r="Q119" s="306">
        <v>1500</v>
      </c>
      <c r="S119" s="306">
        <f>825+40</f>
        <v>865</v>
      </c>
      <c r="U119" s="447"/>
      <c r="V119" s="302"/>
      <c r="W119" s="302"/>
      <c r="X119" s="302"/>
      <c r="Y119" s="302"/>
      <c r="Z119" s="302"/>
      <c r="AA119" s="302"/>
      <c r="AB119" s="302"/>
      <c r="AC119" s="302"/>
      <c r="AD119" s="302"/>
      <c r="AE119" s="302"/>
      <c r="AF119" s="302"/>
      <c r="AG119" s="302"/>
      <c r="AH119" s="302"/>
      <c r="AI119" s="302"/>
      <c r="AJ119" s="302"/>
      <c r="AK119" s="302"/>
      <c r="AL119" s="302"/>
      <c r="AM119" s="302"/>
      <c r="AN119" s="302"/>
      <c r="AO119" s="302"/>
      <c r="AP119" s="302"/>
      <c r="AQ119" s="302"/>
      <c r="AR119" s="302"/>
      <c r="AS119" s="302"/>
      <c r="AT119" s="302"/>
      <c r="AU119" s="302"/>
      <c r="AV119" s="302"/>
      <c r="AW119" s="302"/>
      <c r="AX119" s="302"/>
      <c r="AY119" s="302"/>
      <c r="AZ119" s="302"/>
      <c r="BA119" s="302"/>
      <c r="BB119" s="302"/>
      <c r="BC119" s="302"/>
      <c r="BD119" s="302"/>
      <c r="BE119" s="302"/>
      <c r="BF119" s="302"/>
      <c r="BG119" s="302"/>
      <c r="BH119" s="302"/>
      <c r="BI119" s="302"/>
      <c r="BJ119" s="302"/>
      <c r="BK119" s="302"/>
      <c r="BL119" s="302"/>
      <c r="BM119" s="302"/>
      <c r="BN119" s="302"/>
      <c r="BO119" s="302"/>
      <c r="BP119" s="302"/>
      <c r="BQ119" s="302"/>
      <c r="BR119" s="302"/>
      <c r="BS119" s="302"/>
      <c r="BT119" s="302"/>
      <c r="BU119" s="302"/>
    </row>
    <row r="120" spans="1:73">
      <c r="A120" s="459">
        <v>450</v>
      </c>
      <c r="B120" s="460"/>
      <c r="C120" s="460">
        <v>375</v>
      </c>
      <c r="D120" s="460">
        <f t="shared" si="90"/>
        <v>750</v>
      </c>
      <c r="E120" s="460"/>
      <c r="F120" s="460">
        <v>750</v>
      </c>
      <c r="G120" s="460"/>
      <c r="H120" s="460"/>
      <c r="I120" s="460">
        <f t="shared" si="91"/>
        <v>1575</v>
      </c>
      <c r="J120" s="460">
        <f t="shared" si="92"/>
        <v>1950</v>
      </c>
      <c r="K120" s="455">
        <v>1800</v>
      </c>
      <c r="L120" s="461">
        <v>2100</v>
      </c>
      <c r="O120" s="306">
        <v>2400</v>
      </c>
      <c r="Q120" s="306">
        <v>1800</v>
      </c>
      <c r="S120" s="306">
        <f>1135+40</f>
        <v>1175</v>
      </c>
      <c r="U120" s="447"/>
      <c r="V120" s="302"/>
      <c r="W120" s="302"/>
      <c r="X120" s="302"/>
      <c r="Y120" s="302"/>
      <c r="Z120" s="302"/>
      <c r="AA120" s="302"/>
      <c r="AB120" s="302"/>
      <c r="AC120" s="302"/>
      <c r="AD120" s="302"/>
      <c r="AE120" s="302"/>
      <c r="AF120" s="302"/>
      <c r="AG120" s="302"/>
      <c r="AH120" s="302"/>
      <c r="AI120" s="302"/>
      <c r="AJ120" s="302"/>
      <c r="AK120" s="302"/>
      <c r="AL120" s="302"/>
      <c r="AM120" s="302"/>
      <c r="AN120" s="302"/>
      <c r="AO120" s="302"/>
      <c r="AP120" s="302"/>
      <c r="AQ120" s="302"/>
      <c r="AR120" s="302"/>
      <c r="AS120" s="302"/>
      <c r="AT120" s="302"/>
      <c r="AU120" s="302"/>
      <c r="AV120" s="302"/>
      <c r="AW120" s="302"/>
      <c r="AX120" s="302"/>
      <c r="AY120" s="302"/>
      <c r="AZ120" s="302"/>
      <c r="BA120" s="302"/>
      <c r="BB120" s="302"/>
      <c r="BC120" s="302"/>
      <c r="BD120" s="302"/>
      <c r="BE120" s="302"/>
      <c r="BF120" s="302"/>
      <c r="BG120" s="302"/>
      <c r="BH120" s="302"/>
      <c r="BI120" s="302"/>
      <c r="BJ120" s="302"/>
      <c r="BK120" s="302"/>
      <c r="BL120" s="302"/>
      <c r="BM120" s="302"/>
      <c r="BN120" s="302"/>
      <c r="BO120" s="302"/>
      <c r="BP120" s="302"/>
      <c r="BQ120" s="302"/>
      <c r="BR120" s="302"/>
      <c r="BS120" s="302"/>
      <c r="BT120" s="302"/>
      <c r="BU120" s="302"/>
    </row>
    <row r="121" spans="1:73">
      <c r="A121" s="459">
        <v>525</v>
      </c>
      <c r="B121" s="460"/>
      <c r="C121" s="460">
        <v>375</v>
      </c>
      <c r="D121" s="460">
        <f t="shared" si="90"/>
        <v>750</v>
      </c>
      <c r="E121" s="460"/>
      <c r="F121" s="460">
        <v>750</v>
      </c>
      <c r="G121" s="460"/>
      <c r="H121" s="460"/>
      <c r="I121" s="460">
        <f t="shared" si="91"/>
        <v>1650</v>
      </c>
      <c r="J121" s="460">
        <f t="shared" si="92"/>
        <v>2025</v>
      </c>
      <c r="K121" s="455">
        <v>1800</v>
      </c>
      <c r="L121" s="461">
        <v>2100</v>
      </c>
      <c r="O121" s="306">
        <v>2700</v>
      </c>
      <c r="Q121" s="306">
        <v>2100</v>
      </c>
      <c r="S121" s="306">
        <f>1350+40</f>
        <v>1390</v>
      </c>
      <c r="U121" s="447"/>
      <c r="V121" s="302"/>
      <c r="W121" s="302"/>
      <c r="X121" s="302"/>
      <c r="Y121" s="302"/>
      <c r="Z121" s="302"/>
      <c r="AA121" s="302"/>
      <c r="AB121" s="302"/>
      <c r="AC121" s="302"/>
      <c r="AD121" s="302"/>
      <c r="AE121" s="302"/>
      <c r="AF121" s="302"/>
      <c r="AG121" s="302"/>
      <c r="AH121" s="302"/>
      <c r="AI121" s="302"/>
      <c r="AJ121" s="302"/>
      <c r="AK121" s="302"/>
      <c r="AL121" s="302"/>
      <c r="AM121" s="302"/>
      <c r="AN121" s="302"/>
      <c r="AO121" s="302"/>
      <c r="AP121" s="302"/>
      <c r="AQ121" s="302"/>
      <c r="AR121" s="302"/>
      <c r="AS121" s="302"/>
      <c r="AT121" s="302"/>
      <c r="AU121" s="302"/>
      <c r="AV121" s="302"/>
      <c r="AW121" s="302"/>
      <c r="AX121" s="302"/>
      <c r="AY121" s="302"/>
      <c r="AZ121" s="302"/>
      <c r="BA121" s="302"/>
      <c r="BB121" s="302"/>
      <c r="BC121" s="302"/>
      <c r="BD121" s="302"/>
      <c r="BE121" s="302"/>
      <c r="BF121" s="302"/>
      <c r="BG121" s="302"/>
      <c r="BH121" s="302"/>
      <c r="BI121" s="302"/>
      <c r="BJ121" s="302"/>
      <c r="BK121" s="302"/>
      <c r="BL121" s="302"/>
      <c r="BM121" s="302"/>
      <c r="BN121" s="302"/>
      <c r="BO121" s="302"/>
      <c r="BP121" s="302"/>
      <c r="BQ121" s="302"/>
      <c r="BR121" s="302"/>
      <c r="BS121" s="302"/>
      <c r="BT121" s="302"/>
      <c r="BU121" s="302"/>
    </row>
    <row r="122" spans="1:73">
      <c r="A122" s="462">
        <v>600</v>
      </c>
      <c r="B122" s="463"/>
      <c r="C122" s="463">
        <v>375</v>
      </c>
      <c r="D122" s="463">
        <f t="shared" si="90"/>
        <v>750</v>
      </c>
      <c r="E122" s="463"/>
      <c r="F122" s="463">
        <v>1100</v>
      </c>
      <c r="G122" s="463"/>
      <c r="H122" s="463"/>
      <c r="I122" s="463">
        <f t="shared" si="91"/>
        <v>2075</v>
      </c>
      <c r="J122" s="463">
        <f t="shared" si="92"/>
        <v>2450</v>
      </c>
      <c r="K122" s="461">
        <v>2100</v>
      </c>
      <c r="L122" s="464">
        <v>2700</v>
      </c>
      <c r="O122" s="306">
        <v>3000</v>
      </c>
      <c r="Q122" s="306">
        <v>2400</v>
      </c>
      <c r="S122" s="306">
        <f>1650+40</f>
        <v>1690</v>
      </c>
      <c r="U122" s="447"/>
      <c r="V122" s="302"/>
      <c r="W122" s="302"/>
      <c r="X122" s="302"/>
      <c r="Y122" s="302"/>
      <c r="Z122" s="302"/>
      <c r="AA122" s="302"/>
      <c r="AB122" s="302"/>
      <c r="AC122" s="302"/>
      <c r="AD122" s="302"/>
      <c r="AE122" s="302"/>
      <c r="AF122" s="302"/>
      <c r="AG122" s="302"/>
      <c r="AH122" s="302"/>
      <c r="AI122" s="302"/>
      <c r="AJ122" s="302"/>
      <c r="AK122" s="302"/>
      <c r="AL122" s="302"/>
      <c r="AM122" s="302"/>
      <c r="AN122" s="302"/>
      <c r="AO122" s="302"/>
      <c r="AP122" s="302"/>
      <c r="AQ122" s="302"/>
      <c r="AR122" s="302"/>
      <c r="AS122" s="302"/>
      <c r="AT122" s="302"/>
      <c r="AU122" s="302"/>
      <c r="AV122" s="302"/>
      <c r="AW122" s="302"/>
      <c r="AX122" s="302"/>
      <c r="AY122" s="302"/>
      <c r="AZ122" s="302"/>
      <c r="BA122" s="302"/>
      <c r="BB122" s="302"/>
      <c r="BC122" s="302"/>
      <c r="BD122" s="302"/>
      <c r="BE122" s="302"/>
      <c r="BF122" s="302"/>
      <c r="BG122" s="302"/>
      <c r="BH122" s="302"/>
      <c r="BI122" s="302"/>
      <c r="BJ122" s="302"/>
      <c r="BK122" s="302"/>
      <c r="BL122" s="302"/>
      <c r="BM122" s="302"/>
      <c r="BN122" s="302"/>
      <c r="BO122" s="302"/>
      <c r="BP122" s="302"/>
      <c r="BQ122" s="302"/>
      <c r="BR122" s="302"/>
      <c r="BS122" s="302"/>
      <c r="BT122" s="302"/>
      <c r="BU122" s="302"/>
    </row>
    <row r="123" spans="1:73">
      <c r="A123" s="465">
        <v>675</v>
      </c>
      <c r="B123" s="466"/>
      <c r="C123" s="466">
        <v>375</v>
      </c>
      <c r="D123" s="466">
        <f t="shared" si="90"/>
        <v>750</v>
      </c>
      <c r="E123" s="466"/>
      <c r="F123" s="466">
        <v>1100</v>
      </c>
      <c r="G123" s="466"/>
      <c r="H123" s="466"/>
      <c r="I123" s="466">
        <f t="shared" si="91"/>
        <v>2150</v>
      </c>
      <c r="J123" s="466">
        <f t="shared" si="92"/>
        <v>2525</v>
      </c>
      <c r="K123" s="467">
        <v>2400</v>
      </c>
      <c r="L123" s="464">
        <v>2700</v>
      </c>
      <c r="O123" s="306">
        <v>3600</v>
      </c>
      <c r="Q123" s="306">
        <v>2700</v>
      </c>
      <c r="U123" s="447"/>
      <c r="V123" s="302"/>
      <c r="W123" s="302"/>
      <c r="X123" s="302"/>
      <c r="Y123" s="302"/>
      <c r="Z123" s="302"/>
      <c r="AA123" s="302"/>
      <c r="AB123" s="302"/>
      <c r="AC123" s="302"/>
      <c r="AD123" s="302"/>
      <c r="AE123" s="302"/>
      <c r="AF123" s="302"/>
      <c r="AG123" s="302"/>
      <c r="AH123" s="302"/>
      <c r="AI123" s="302"/>
      <c r="AJ123" s="302"/>
      <c r="AK123" s="302"/>
      <c r="AL123" s="302"/>
      <c r="AM123" s="302"/>
      <c r="AN123" s="302"/>
      <c r="AO123" s="302"/>
      <c r="AP123" s="302"/>
      <c r="AQ123" s="302"/>
      <c r="AR123" s="302"/>
      <c r="AS123" s="302"/>
      <c r="AT123" s="302"/>
      <c r="AU123" s="302"/>
      <c r="AV123" s="302"/>
      <c r="AW123" s="302"/>
      <c r="AX123" s="302"/>
      <c r="AY123" s="302"/>
      <c r="AZ123" s="302"/>
      <c r="BA123" s="302"/>
      <c r="BB123" s="302"/>
      <c r="BC123" s="302"/>
      <c r="BD123" s="302"/>
      <c r="BE123" s="302"/>
      <c r="BF123" s="302"/>
      <c r="BG123" s="302"/>
      <c r="BH123" s="302"/>
      <c r="BI123" s="302"/>
      <c r="BJ123" s="302"/>
      <c r="BK123" s="302"/>
      <c r="BL123" s="302"/>
      <c r="BM123" s="302"/>
      <c r="BN123" s="302"/>
      <c r="BO123" s="302"/>
      <c r="BP123" s="302"/>
      <c r="BQ123" s="302"/>
      <c r="BR123" s="302"/>
      <c r="BS123" s="302"/>
      <c r="BT123" s="302"/>
      <c r="BU123" s="302"/>
    </row>
    <row r="124" spans="1:73">
      <c r="A124" s="465">
        <v>750</v>
      </c>
      <c r="B124" s="466"/>
      <c r="C124" s="466">
        <v>375</v>
      </c>
      <c r="D124" s="466">
        <f t="shared" si="90"/>
        <v>750</v>
      </c>
      <c r="E124" s="466"/>
      <c r="F124" s="466">
        <v>1100</v>
      </c>
      <c r="G124" s="466"/>
      <c r="H124" s="466"/>
      <c r="I124" s="466">
        <f t="shared" si="91"/>
        <v>2225</v>
      </c>
      <c r="J124" s="466">
        <f t="shared" si="92"/>
        <v>2600</v>
      </c>
      <c r="K124" s="467">
        <v>2400</v>
      </c>
      <c r="L124" s="464">
        <v>2700</v>
      </c>
      <c r="U124" s="447"/>
      <c r="V124" s="302"/>
      <c r="W124" s="302"/>
      <c r="X124" s="302"/>
      <c r="Y124" s="302"/>
      <c r="Z124" s="302"/>
      <c r="AA124" s="302"/>
      <c r="AB124" s="302"/>
      <c r="AC124" s="302"/>
      <c r="AD124" s="302"/>
      <c r="AE124" s="302"/>
      <c r="AF124" s="302"/>
      <c r="AG124" s="302"/>
      <c r="AH124" s="302"/>
      <c r="AI124" s="302"/>
      <c r="AJ124" s="302"/>
      <c r="AK124" s="302"/>
      <c r="AL124" s="302"/>
      <c r="AM124" s="302"/>
      <c r="AN124" s="302"/>
      <c r="AO124" s="302"/>
      <c r="AP124" s="302"/>
      <c r="AQ124" s="302"/>
      <c r="AR124" s="302"/>
      <c r="AS124" s="302"/>
      <c r="AT124" s="302"/>
      <c r="AU124" s="302"/>
      <c r="AV124" s="302"/>
      <c r="AW124" s="302"/>
      <c r="AX124" s="302"/>
      <c r="AY124" s="302"/>
      <c r="AZ124" s="302"/>
      <c r="BA124" s="302"/>
      <c r="BB124" s="302"/>
      <c r="BC124" s="302"/>
      <c r="BD124" s="302"/>
      <c r="BE124" s="302"/>
      <c r="BF124" s="302"/>
      <c r="BG124" s="302"/>
      <c r="BH124" s="302"/>
      <c r="BI124" s="302"/>
      <c r="BJ124" s="302"/>
      <c r="BK124" s="302"/>
      <c r="BL124" s="302"/>
      <c r="BM124" s="302"/>
      <c r="BN124" s="302"/>
      <c r="BO124" s="302"/>
      <c r="BP124" s="302"/>
      <c r="BQ124" s="302"/>
      <c r="BR124" s="302"/>
      <c r="BS124" s="302"/>
      <c r="BT124" s="302"/>
      <c r="BU124" s="302"/>
    </row>
    <row r="125" spans="1:73">
      <c r="A125" s="465">
        <v>900</v>
      </c>
      <c r="B125" s="466"/>
      <c r="C125" s="466">
        <v>375</v>
      </c>
      <c r="D125" s="466">
        <f t="shared" si="90"/>
        <v>750</v>
      </c>
      <c r="E125" s="466"/>
      <c r="F125" s="466">
        <v>1100</v>
      </c>
      <c r="G125" s="466"/>
      <c r="H125" s="466"/>
      <c r="I125" s="466">
        <f t="shared" si="91"/>
        <v>2375</v>
      </c>
      <c r="J125" s="466">
        <f t="shared" si="92"/>
        <v>2750</v>
      </c>
      <c r="K125" s="467">
        <v>2400</v>
      </c>
      <c r="L125" s="468">
        <v>3000</v>
      </c>
      <c r="U125" s="447"/>
      <c r="V125" s="302"/>
      <c r="W125" s="302"/>
      <c r="X125" s="302"/>
      <c r="Y125" s="302"/>
      <c r="Z125" s="302"/>
      <c r="AA125" s="302"/>
      <c r="AB125" s="302"/>
      <c r="AC125" s="302"/>
      <c r="AD125" s="302"/>
      <c r="AE125" s="302"/>
      <c r="AF125" s="302"/>
      <c r="AG125" s="302"/>
      <c r="AH125" s="302"/>
      <c r="AI125" s="302"/>
      <c r="AJ125" s="302"/>
      <c r="AK125" s="302"/>
      <c r="AL125" s="302"/>
      <c r="AM125" s="302"/>
      <c r="AN125" s="302"/>
      <c r="AO125" s="302"/>
      <c r="AP125" s="302"/>
      <c r="AQ125" s="302"/>
      <c r="AR125" s="302"/>
      <c r="AS125" s="302"/>
      <c r="AT125" s="302"/>
      <c r="AU125" s="302"/>
      <c r="AV125" s="302"/>
      <c r="AW125" s="302"/>
      <c r="AX125" s="302"/>
      <c r="AY125" s="302"/>
      <c r="AZ125" s="302"/>
      <c r="BA125" s="302"/>
      <c r="BB125" s="302"/>
      <c r="BC125" s="302"/>
      <c r="BD125" s="302"/>
      <c r="BE125" s="302"/>
      <c r="BF125" s="302"/>
      <c r="BG125" s="302"/>
      <c r="BH125" s="302"/>
      <c r="BI125" s="302"/>
      <c r="BJ125" s="302"/>
      <c r="BK125" s="302"/>
      <c r="BL125" s="302"/>
      <c r="BM125" s="302"/>
      <c r="BN125" s="302"/>
      <c r="BO125" s="302"/>
      <c r="BP125" s="302"/>
      <c r="BQ125" s="302"/>
      <c r="BR125" s="302"/>
      <c r="BS125" s="302"/>
      <c r="BT125" s="302"/>
      <c r="BU125" s="302"/>
    </row>
    <row r="126" spans="1:73">
      <c r="A126" s="469">
        <v>1050</v>
      </c>
      <c r="B126" s="470"/>
      <c r="C126" s="470">
        <v>375</v>
      </c>
      <c r="D126" s="470">
        <f t="shared" si="90"/>
        <v>750</v>
      </c>
      <c r="E126" s="470"/>
      <c r="F126" s="470">
        <v>1100</v>
      </c>
      <c r="G126" s="470"/>
      <c r="H126" s="470"/>
      <c r="I126" s="470">
        <f t="shared" si="91"/>
        <v>2525</v>
      </c>
      <c r="J126" s="470">
        <f t="shared" si="92"/>
        <v>2900</v>
      </c>
      <c r="K126" s="464">
        <v>2700</v>
      </c>
      <c r="L126" s="468">
        <v>3000</v>
      </c>
      <c r="U126" s="447"/>
      <c r="V126" s="302"/>
      <c r="W126" s="302"/>
      <c r="X126" s="302"/>
      <c r="Y126" s="302"/>
      <c r="Z126" s="302"/>
      <c r="AA126" s="302"/>
      <c r="AB126" s="302"/>
      <c r="AC126" s="302"/>
      <c r="AD126" s="302"/>
      <c r="AE126" s="302"/>
      <c r="AF126" s="302"/>
      <c r="AG126" s="302"/>
      <c r="AH126" s="302"/>
      <c r="AI126" s="302"/>
      <c r="AJ126" s="302"/>
      <c r="AK126" s="302"/>
      <c r="AL126" s="302"/>
      <c r="AM126" s="302"/>
      <c r="AN126" s="302"/>
      <c r="AO126" s="302"/>
      <c r="AP126" s="302"/>
      <c r="AQ126" s="302"/>
      <c r="AR126" s="302"/>
      <c r="AS126" s="302"/>
      <c r="AT126" s="302"/>
      <c r="AU126" s="302"/>
      <c r="AV126" s="302"/>
      <c r="AW126" s="302"/>
      <c r="AX126" s="302"/>
      <c r="AY126" s="302"/>
      <c r="AZ126" s="302"/>
      <c r="BA126" s="302"/>
      <c r="BB126" s="302"/>
      <c r="BC126" s="302"/>
      <c r="BD126" s="302"/>
      <c r="BE126" s="302"/>
      <c r="BF126" s="302"/>
      <c r="BG126" s="302"/>
      <c r="BH126" s="302"/>
      <c r="BI126" s="302"/>
      <c r="BJ126" s="302"/>
      <c r="BK126" s="302"/>
      <c r="BL126" s="302"/>
      <c r="BM126" s="302"/>
      <c r="BN126" s="302"/>
      <c r="BO126" s="302"/>
      <c r="BP126" s="302"/>
      <c r="BQ126" s="302"/>
      <c r="BR126" s="302"/>
      <c r="BS126" s="302"/>
      <c r="BT126" s="302"/>
      <c r="BU126" s="302"/>
    </row>
    <row r="127" spans="1:73">
      <c r="A127" s="469">
        <v>1200</v>
      </c>
      <c r="B127" s="470"/>
      <c r="C127" s="470">
        <v>375</v>
      </c>
      <c r="D127" s="470">
        <f t="shared" si="90"/>
        <v>750</v>
      </c>
      <c r="E127" s="470"/>
      <c r="F127" s="470">
        <v>1100</v>
      </c>
      <c r="G127" s="470"/>
      <c r="H127" s="470"/>
      <c r="I127" s="470">
        <f t="shared" si="91"/>
        <v>2675</v>
      </c>
      <c r="J127" s="470">
        <f t="shared" si="92"/>
        <v>3050</v>
      </c>
      <c r="K127" s="464">
        <v>2700</v>
      </c>
      <c r="L127" s="468">
        <v>3000</v>
      </c>
      <c r="U127" s="447"/>
      <c r="V127" s="302"/>
      <c r="W127" s="302"/>
      <c r="X127" s="302"/>
      <c r="Y127" s="302"/>
      <c r="Z127" s="302"/>
      <c r="AA127" s="302"/>
      <c r="AB127" s="302"/>
      <c r="AC127" s="302"/>
      <c r="AD127" s="302"/>
      <c r="AE127" s="302"/>
      <c r="AF127" s="302"/>
      <c r="AG127" s="302"/>
      <c r="AH127" s="302"/>
      <c r="AI127" s="302"/>
      <c r="AJ127" s="302"/>
      <c r="AK127" s="302"/>
      <c r="AL127" s="302"/>
      <c r="AM127" s="302"/>
      <c r="AN127" s="302"/>
      <c r="AO127" s="302"/>
      <c r="AP127" s="302"/>
      <c r="AQ127" s="302"/>
      <c r="AR127" s="302"/>
      <c r="AS127" s="302"/>
      <c r="AT127" s="302"/>
      <c r="AU127" s="302"/>
      <c r="AV127" s="302"/>
      <c r="AW127" s="302"/>
      <c r="AX127" s="302"/>
      <c r="AY127" s="302"/>
      <c r="AZ127" s="302"/>
      <c r="BA127" s="302"/>
      <c r="BB127" s="302"/>
      <c r="BC127" s="302"/>
      <c r="BD127" s="302"/>
      <c r="BE127" s="302"/>
      <c r="BF127" s="302"/>
      <c r="BG127" s="302"/>
      <c r="BH127" s="302"/>
      <c r="BI127" s="302"/>
      <c r="BJ127" s="302"/>
      <c r="BK127" s="302"/>
      <c r="BL127" s="302"/>
      <c r="BM127" s="302"/>
      <c r="BN127" s="302"/>
      <c r="BO127" s="302"/>
      <c r="BP127" s="302"/>
      <c r="BQ127" s="302"/>
      <c r="BR127" s="302"/>
      <c r="BS127" s="302"/>
      <c r="BT127" s="302"/>
      <c r="BU127" s="302"/>
    </row>
    <row r="128" spans="1:73">
      <c r="A128" s="471">
        <v>1350</v>
      </c>
      <c r="B128" s="472"/>
      <c r="C128" s="472">
        <v>375</v>
      </c>
      <c r="D128" s="472">
        <f t="shared" si="90"/>
        <v>750</v>
      </c>
      <c r="E128" s="472"/>
      <c r="F128" s="472">
        <v>1100</v>
      </c>
      <c r="G128" s="472"/>
      <c r="H128" s="472"/>
      <c r="I128" s="472">
        <f t="shared" si="91"/>
        <v>2825</v>
      </c>
      <c r="J128" s="472">
        <f t="shared" si="92"/>
        <v>3200</v>
      </c>
      <c r="K128" s="468">
        <v>3000</v>
      </c>
      <c r="L128" s="468">
        <v>3000</v>
      </c>
      <c r="U128" s="447"/>
      <c r="V128" s="302"/>
      <c r="W128" s="302"/>
      <c r="X128" s="302"/>
      <c r="Y128" s="302"/>
      <c r="Z128" s="302"/>
      <c r="AA128" s="302"/>
      <c r="AB128" s="302"/>
      <c r="AC128" s="302"/>
      <c r="AD128" s="302"/>
      <c r="AE128" s="302"/>
      <c r="AF128" s="302"/>
      <c r="AG128" s="302"/>
      <c r="AH128" s="302"/>
      <c r="AI128" s="302"/>
      <c r="AJ128" s="302"/>
      <c r="AK128" s="302"/>
      <c r="AL128" s="302"/>
      <c r="AM128" s="302"/>
      <c r="AN128" s="302"/>
      <c r="AO128" s="302"/>
      <c r="AP128" s="302"/>
      <c r="AQ128" s="302"/>
      <c r="AR128" s="302"/>
      <c r="AS128" s="302"/>
      <c r="AT128" s="302"/>
      <c r="AU128" s="302"/>
      <c r="AV128" s="302"/>
      <c r="AW128" s="302"/>
      <c r="AX128" s="302"/>
      <c r="AY128" s="302"/>
      <c r="AZ128" s="302"/>
      <c r="BA128" s="302"/>
      <c r="BB128" s="302"/>
      <c r="BC128" s="302"/>
      <c r="BD128" s="302"/>
      <c r="BE128" s="302"/>
      <c r="BF128" s="302"/>
      <c r="BG128" s="302"/>
      <c r="BH128" s="302"/>
      <c r="BI128" s="302"/>
      <c r="BJ128" s="302"/>
      <c r="BK128" s="302"/>
      <c r="BL128" s="302"/>
      <c r="BM128" s="302"/>
      <c r="BN128" s="302"/>
      <c r="BO128" s="302"/>
      <c r="BP128" s="302"/>
      <c r="BQ128" s="302"/>
      <c r="BR128" s="302"/>
      <c r="BS128" s="302"/>
      <c r="BT128" s="302"/>
      <c r="BU128" s="302"/>
    </row>
    <row r="129" spans="1:73" ht="14" thickBot="1">
      <c r="A129" s="473"/>
      <c r="B129" s="474"/>
      <c r="C129" s="474"/>
      <c r="D129" s="474"/>
      <c r="E129" s="474"/>
      <c r="F129" s="474"/>
      <c r="G129" s="474"/>
      <c r="H129" s="474"/>
      <c r="I129" s="474"/>
      <c r="J129" s="474"/>
      <c r="K129" s="474"/>
      <c r="L129" s="474"/>
      <c r="M129" s="474"/>
      <c r="N129" s="474"/>
      <c r="O129" s="474"/>
      <c r="P129" s="474"/>
      <c r="Q129" s="474"/>
      <c r="R129" s="474"/>
      <c r="S129" s="474"/>
      <c r="T129" s="474"/>
      <c r="U129" s="475"/>
      <c r="V129" s="302"/>
      <c r="W129" s="302"/>
      <c r="X129" s="302"/>
      <c r="Y129" s="302"/>
      <c r="Z129" s="302"/>
      <c r="AA129" s="302"/>
      <c r="AB129" s="302"/>
      <c r="AC129" s="302"/>
      <c r="AD129" s="302"/>
      <c r="AE129" s="302"/>
      <c r="AF129" s="302"/>
      <c r="AG129" s="302"/>
      <c r="AH129" s="302"/>
      <c r="AI129" s="302"/>
      <c r="AJ129" s="302"/>
      <c r="AK129" s="302"/>
      <c r="AL129" s="302"/>
      <c r="AM129" s="302"/>
      <c r="AN129" s="302"/>
      <c r="AO129" s="302"/>
      <c r="AP129" s="302"/>
      <c r="AQ129" s="302"/>
      <c r="AR129" s="302"/>
      <c r="AS129" s="302"/>
      <c r="AT129" s="302"/>
      <c r="AU129" s="302"/>
      <c r="AV129" s="302"/>
      <c r="AW129" s="302"/>
      <c r="AX129" s="302"/>
      <c r="AY129" s="302"/>
      <c r="AZ129" s="302"/>
      <c r="BA129" s="302"/>
      <c r="BB129" s="302"/>
      <c r="BC129" s="302"/>
      <c r="BD129" s="302"/>
      <c r="BE129" s="302"/>
      <c r="BF129" s="302"/>
      <c r="BG129" s="302"/>
      <c r="BH129" s="302"/>
      <c r="BI129" s="302"/>
      <c r="BJ129" s="302"/>
      <c r="BK129" s="302"/>
      <c r="BL129" s="302"/>
      <c r="BM129" s="302"/>
      <c r="BN129" s="302"/>
      <c r="BO129" s="302"/>
      <c r="BP129" s="302"/>
      <c r="BQ129" s="302"/>
      <c r="BR129" s="302"/>
      <c r="BS129" s="302"/>
      <c r="BT129" s="302"/>
      <c r="BU129" s="302"/>
    </row>
    <row r="130" spans="1:73">
      <c r="A130" s="302"/>
      <c r="B130" s="302"/>
      <c r="C130" s="302"/>
      <c r="D130" s="302"/>
      <c r="E130" s="302"/>
      <c r="F130" s="302"/>
      <c r="G130" s="302"/>
      <c r="H130" s="302"/>
      <c r="I130" s="302"/>
      <c r="J130" s="302"/>
      <c r="K130" s="302"/>
      <c r="L130" s="302"/>
      <c r="M130" s="302"/>
      <c r="N130" s="302"/>
      <c r="O130" s="302"/>
      <c r="P130" s="302"/>
      <c r="Q130" s="302"/>
      <c r="R130" s="302"/>
      <c r="S130" s="302"/>
      <c r="T130" s="302"/>
      <c r="U130" s="302"/>
      <c r="V130" s="302"/>
      <c r="W130" s="302"/>
      <c r="X130" s="302"/>
      <c r="Y130" s="302"/>
      <c r="Z130" s="302"/>
      <c r="AA130" s="302"/>
      <c r="AB130" s="302"/>
      <c r="AC130" s="302"/>
      <c r="AD130" s="302"/>
      <c r="AE130" s="302"/>
      <c r="AF130" s="302"/>
      <c r="AG130" s="302"/>
      <c r="AH130" s="302"/>
      <c r="AI130" s="302"/>
      <c r="AJ130" s="302"/>
      <c r="AK130" s="302"/>
      <c r="AL130" s="302"/>
      <c r="AM130" s="302"/>
      <c r="AN130" s="302"/>
      <c r="AO130" s="302"/>
      <c r="AP130" s="302"/>
      <c r="AQ130" s="302"/>
      <c r="AR130" s="302"/>
      <c r="AS130" s="302"/>
      <c r="AT130" s="302"/>
      <c r="AU130" s="302"/>
      <c r="AV130" s="302"/>
      <c r="AW130" s="302"/>
      <c r="AX130" s="302"/>
      <c r="AY130" s="302"/>
      <c r="AZ130" s="302"/>
      <c r="BA130" s="302"/>
      <c r="BB130" s="302"/>
      <c r="BC130" s="302"/>
      <c r="BD130" s="302"/>
      <c r="BE130" s="302"/>
      <c r="BF130" s="302"/>
      <c r="BG130" s="302"/>
      <c r="BH130" s="302"/>
      <c r="BI130" s="302"/>
      <c r="BJ130" s="302"/>
      <c r="BK130" s="302"/>
      <c r="BL130" s="302"/>
      <c r="BM130" s="302"/>
      <c r="BN130" s="302"/>
      <c r="BO130" s="302"/>
      <c r="BP130" s="302"/>
      <c r="BQ130" s="302"/>
      <c r="BR130" s="302"/>
      <c r="BS130" s="302"/>
      <c r="BT130" s="302"/>
      <c r="BU130" s="302"/>
    </row>
    <row r="131" spans="1:73">
      <c r="A131" s="302"/>
      <c r="B131" s="302"/>
      <c r="C131" s="302"/>
      <c r="D131" s="302"/>
      <c r="E131" s="302"/>
      <c r="F131" s="302"/>
      <c r="G131" s="302"/>
      <c r="H131" s="302"/>
      <c r="I131" s="302"/>
      <c r="J131" s="302"/>
      <c r="K131" s="302"/>
      <c r="L131" s="302"/>
      <c r="M131" s="302"/>
      <c r="N131" s="302"/>
      <c r="O131" s="302"/>
      <c r="P131" s="302"/>
      <c r="Q131" s="302"/>
      <c r="R131" s="302"/>
      <c r="S131" s="302"/>
      <c r="T131" s="302"/>
      <c r="U131" s="302"/>
      <c r="V131" s="302"/>
      <c r="W131" s="302"/>
      <c r="X131" s="302"/>
      <c r="Y131" s="302"/>
      <c r="Z131" s="302"/>
      <c r="AA131" s="302"/>
      <c r="AB131" s="302"/>
      <c r="AC131" s="302"/>
      <c r="AD131" s="302"/>
      <c r="AE131" s="302"/>
      <c r="AF131" s="302"/>
      <c r="AG131" s="302"/>
      <c r="AH131" s="302"/>
      <c r="AI131" s="302"/>
      <c r="AJ131" s="302"/>
      <c r="AK131" s="302"/>
      <c r="AL131" s="302"/>
      <c r="AM131" s="302"/>
      <c r="AN131" s="302"/>
      <c r="AO131" s="302"/>
      <c r="AP131" s="302"/>
      <c r="AQ131" s="302"/>
      <c r="AR131" s="302"/>
      <c r="AS131" s="302"/>
      <c r="AT131" s="302"/>
      <c r="AU131" s="302"/>
      <c r="AV131" s="302"/>
      <c r="AW131" s="302"/>
      <c r="AX131" s="302"/>
      <c r="AY131" s="302"/>
      <c r="AZ131" s="302"/>
      <c r="BA131" s="302"/>
      <c r="BB131" s="302"/>
      <c r="BC131" s="302"/>
      <c r="BD131" s="302"/>
      <c r="BE131" s="302"/>
      <c r="BF131" s="302"/>
      <c r="BG131" s="302"/>
      <c r="BH131" s="302"/>
      <c r="BI131" s="302"/>
      <c r="BJ131" s="302"/>
      <c r="BK131" s="302"/>
      <c r="BL131" s="302"/>
      <c r="BM131" s="302"/>
      <c r="BN131" s="302"/>
      <c r="BO131" s="302"/>
      <c r="BP131" s="302"/>
      <c r="BQ131" s="302"/>
      <c r="BR131" s="302"/>
      <c r="BS131" s="302"/>
      <c r="BT131" s="302"/>
      <c r="BU131" s="302"/>
    </row>
    <row r="132" spans="1:73">
      <c r="A132" s="302"/>
      <c r="B132" s="302"/>
      <c r="C132" s="1189" t="s">
        <v>483</v>
      </c>
      <c r="D132" s="1189"/>
      <c r="E132" s="302"/>
      <c r="F132" s="302"/>
      <c r="G132" s="302"/>
      <c r="H132" s="302"/>
      <c r="I132" s="302"/>
      <c r="J132" s="302"/>
      <c r="K132" s="302"/>
      <c r="L132" s="302"/>
      <c r="M132" s="302"/>
      <c r="N132" s="302"/>
      <c r="O132" s="302"/>
      <c r="P132" s="302"/>
      <c r="Q132" s="302"/>
      <c r="R132" s="302"/>
      <c r="S132" s="302"/>
      <c r="T132" s="302"/>
      <c r="U132" s="302"/>
      <c r="V132" s="302"/>
      <c r="W132" s="302"/>
      <c r="X132" s="302"/>
      <c r="Y132" s="302"/>
      <c r="Z132" s="302"/>
      <c r="AA132" s="302"/>
      <c r="AB132" s="302"/>
      <c r="AC132" s="302"/>
      <c r="AD132" s="302"/>
      <c r="AE132" s="302"/>
      <c r="AF132" s="302"/>
      <c r="AG132" s="302"/>
      <c r="AH132" s="302"/>
      <c r="AI132" s="302"/>
      <c r="AJ132" s="302"/>
      <c r="AK132" s="302"/>
      <c r="AL132" s="302"/>
      <c r="AM132" s="302"/>
      <c r="AN132" s="302"/>
      <c r="AO132" s="302"/>
      <c r="AP132" s="302"/>
      <c r="AQ132" s="302"/>
      <c r="AR132" s="302"/>
      <c r="AS132" s="302"/>
      <c r="AT132" s="302"/>
      <c r="AU132" s="302"/>
      <c r="AV132" s="302"/>
      <c r="AW132" s="302"/>
      <c r="AX132" s="302"/>
      <c r="AY132" s="302"/>
      <c r="AZ132" s="302"/>
      <c r="BA132" s="302"/>
      <c r="BB132" s="302"/>
      <c r="BC132" s="302"/>
      <c r="BD132" s="302"/>
      <c r="BE132" s="302"/>
      <c r="BF132" s="302"/>
      <c r="BG132" s="302"/>
      <c r="BH132" s="302"/>
      <c r="BI132" s="302"/>
      <c r="BJ132" s="302"/>
      <c r="BK132" s="302"/>
      <c r="BL132" s="302"/>
      <c r="BM132" s="302"/>
      <c r="BN132" s="302"/>
      <c r="BO132" s="302"/>
      <c r="BP132" s="302"/>
      <c r="BQ132" s="302"/>
      <c r="BR132" s="302"/>
      <c r="BS132" s="302"/>
      <c r="BT132" s="302"/>
      <c r="BU132" s="302"/>
    </row>
    <row r="133" spans="1:73">
      <c r="A133" s="302"/>
      <c r="B133" s="302"/>
      <c r="C133" s="307">
        <v>43438</v>
      </c>
      <c r="D133" s="302"/>
      <c r="E133" s="302"/>
      <c r="F133" s="302"/>
      <c r="G133" s="302"/>
      <c r="H133" s="302"/>
      <c r="I133" s="302"/>
      <c r="J133" s="302"/>
      <c r="K133" s="302"/>
      <c r="L133" s="302"/>
      <c r="M133" s="302"/>
      <c r="N133" s="302"/>
      <c r="O133" s="302"/>
      <c r="P133" s="302"/>
      <c r="Q133" s="302"/>
      <c r="R133" s="302"/>
      <c r="S133" s="302"/>
      <c r="T133" s="302"/>
      <c r="U133" s="302"/>
      <c r="V133" s="302"/>
      <c r="W133" s="302"/>
      <c r="X133" s="302"/>
      <c r="Y133" s="302"/>
      <c r="Z133" s="302"/>
      <c r="AA133" s="302"/>
      <c r="AB133" s="302"/>
      <c r="AC133" s="302"/>
      <c r="AD133" s="302"/>
      <c r="AE133" s="302"/>
      <c r="AF133" s="302"/>
      <c r="AG133" s="302"/>
      <c r="AH133" s="302"/>
      <c r="AI133" s="302"/>
      <c r="AJ133" s="302"/>
      <c r="AK133" s="302"/>
      <c r="AL133" s="302"/>
      <c r="AM133" s="302"/>
      <c r="AN133" s="302"/>
      <c r="AO133" s="302"/>
      <c r="AP133" s="302"/>
      <c r="AQ133" s="302"/>
      <c r="AR133" s="302"/>
      <c r="AS133" s="302"/>
      <c r="AT133" s="302"/>
      <c r="AU133" s="302"/>
      <c r="AV133" s="302"/>
      <c r="AW133" s="302"/>
      <c r="AX133" s="302"/>
      <c r="AY133" s="302"/>
      <c r="AZ133" s="302"/>
      <c r="BA133" s="302"/>
      <c r="BB133" s="302"/>
      <c r="BC133" s="302"/>
      <c r="BD133" s="302"/>
      <c r="BE133" s="302"/>
      <c r="BF133" s="302"/>
      <c r="BG133" s="302"/>
      <c r="BH133" s="302"/>
      <c r="BI133" s="302"/>
      <c r="BJ133" s="302"/>
      <c r="BK133" s="302"/>
      <c r="BL133" s="302"/>
      <c r="BM133" s="302"/>
      <c r="BN133" s="302"/>
      <c r="BO133" s="302"/>
      <c r="BP133" s="302"/>
      <c r="BQ133" s="302"/>
      <c r="BR133" s="302"/>
      <c r="BS133" s="302"/>
      <c r="BT133" s="302"/>
      <c r="BU133" s="302"/>
    </row>
    <row r="134" spans="1:73">
      <c r="A134" s="302"/>
      <c r="B134" s="302"/>
      <c r="C134" s="302"/>
      <c r="D134" s="302"/>
      <c r="E134" s="302"/>
      <c r="F134" s="302"/>
      <c r="G134" s="302"/>
      <c r="H134" s="302"/>
      <c r="I134" s="302"/>
      <c r="J134" s="302"/>
      <c r="K134" s="302"/>
      <c r="L134" s="302"/>
      <c r="M134" s="302"/>
      <c r="N134" s="302"/>
      <c r="O134" s="302"/>
      <c r="P134" s="302"/>
      <c r="Q134" s="302"/>
      <c r="R134" s="302"/>
      <c r="S134" s="302"/>
      <c r="T134" s="302"/>
      <c r="U134" s="302"/>
      <c r="V134" s="302"/>
      <c r="W134" s="302"/>
      <c r="X134" s="302"/>
      <c r="Y134" s="302"/>
      <c r="Z134" s="302"/>
      <c r="AA134" s="302"/>
      <c r="AB134" s="302"/>
      <c r="AC134" s="302"/>
      <c r="AD134" s="302"/>
      <c r="AE134" s="302"/>
      <c r="AF134" s="302"/>
      <c r="AG134" s="302"/>
      <c r="AH134" s="302"/>
      <c r="AI134" s="302"/>
      <c r="AJ134" s="302"/>
      <c r="AK134" s="302"/>
      <c r="AL134" s="302"/>
      <c r="AM134" s="302"/>
      <c r="AN134" s="302"/>
      <c r="AO134" s="302"/>
      <c r="AP134" s="302"/>
      <c r="AQ134" s="302"/>
      <c r="AR134" s="302"/>
      <c r="AS134" s="302"/>
      <c r="AT134" s="302"/>
      <c r="AU134" s="302"/>
      <c r="AV134" s="302"/>
      <c r="AW134" s="302"/>
      <c r="AX134" s="302"/>
      <c r="AY134" s="302"/>
      <c r="AZ134" s="302"/>
      <c r="BA134" s="302"/>
      <c r="BB134" s="302"/>
      <c r="BC134" s="302"/>
      <c r="BD134" s="302"/>
      <c r="BE134" s="302"/>
      <c r="BF134" s="302"/>
      <c r="BG134" s="302"/>
      <c r="BH134" s="302"/>
      <c r="BI134" s="302"/>
      <c r="BJ134" s="302"/>
      <c r="BK134" s="302"/>
      <c r="BL134" s="302"/>
      <c r="BM134" s="302"/>
      <c r="BN134" s="302"/>
      <c r="BO134" s="302"/>
      <c r="BP134" s="302"/>
      <c r="BQ134" s="302"/>
      <c r="BR134" s="302"/>
      <c r="BS134" s="302"/>
      <c r="BT134" s="302"/>
      <c r="BU134" s="302"/>
    </row>
    <row r="135" spans="1:73">
      <c r="A135" s="302"/>
      <c r="B135" s="305"/>
      <c r="C135" s="305" t="s">
        <v>378</v>
      </c>
      <c r="D135" s="305"/>
      <c r="E135" s="305"/>
      <c r="F135" s="305"/>
      <c r="G135" s="305"/>
      <c r="H135" s="305"/>
      <c r="I135" s="305"/>
      <c r="J135" s="305"/>
      <c r="K135" s="305"/>
      <c r="L135" s="305"/>
      <c r="M135" s="305"/>
      <c r="N135" s="305"/>
      <c r="O135" s="305"/>
      <c r="P135" s="305"/>
      <c r="Q135" s="305"/>
      <c r="R135" s="305"/>
      <c r="S135" s="305"/>
      <c r="T135" s="305"/>
      <c r="U135" s="305"/>
      <c r="V135" s="305"/>
      <c r="W135" s="305"/>
      <c r="X135" s="305"/>
      <c r="Y135" s="305"/>
      <c r="Z135" s="305"/>
      <c r="AA135" s="305"/>
      <c r="AB135" s="305"/>
      <c r="AC135" s="305"/>
      <c r="AD135" s="305"/>
      <c r="AE135" s="305" t="s">
        <v>44</v>
      </c>
      <c r="AF135" s="305"/>
      <c r="AG135" s="305"/>
      <c r="AH135" s="305"/>
      <c r="AI135" s="305"/>
      <c r="AJ135" s="305"/>
      <c r="AK135" s="305"/>
      <c r="AL135" s="305"/>
      <c r="AM135" s="305"/>
      <c r="AN135" s="305"/>
      <c r="AO135" s="305"/>
      <c r="AP135" s="305"/>
      <c r="AQ135" s="305"/>
      <c r="AR135" s="305"/>
      <c r="AS135" s="305"/>
      <c r="AT135" s="305"/>
      <c r="AU135" s="305"/>
      <c r="AV135" s="305"/>
      <c r="AW135" s="305"/>
      <c r="AX135" s="305"/>
      <c r="AY135" s="305"/>
      <c r="AZ135" s="305"/>
      <c r="BA135" s="302"/>
      <c r="BB135" s="302"/>
      <c r="BC135" s="302"/>
      <c r="BD135" s="302"/>
      <c r="BE135" s="302"/>
      <c r="BF135" s="302"/>
      <c r="BG135" s="302"/>
      <c r="BH135" s="302"/>
      <c r="BI135" s="302"/>
      <c r="BJ135" s="302"/>
      <c r="BK135" s="302"/>
      <c r="BL135" s="302"/>
      <c r="BM135" s="302"/>
      <c r="BN135" s="302"/>
      <c r="BO135" s="302"/>
      <c r="BP135" s="302"/>
      <c r="BQ135" s="302"/>
      <c r="BR135" s="302"/>
      <c r="BS135" s="302"/>
      <c r="BT135" s="302"/>
      <c r="BU135" s="302"/>
    </row>
    <row r="136" spans="1:73">
      <c r="A136" s="302"/>
      <c r="B136" s="305"/>
      <c r="C136" s="308" t="s">
        <v>45</v>
      </c>
      <c r="D136" s="305"/>
      <c r="E136" s="305"/>
      <c r="F136" s="305"/>
      <c r="G136" s="305"/>
      <c r="H136" s="305"/>
      <c r="I136" s="305"/>
      <c r="J136" s="305"/>
      <c r="K136" s="305"/>
      <c r="L136" s="305"/>
      <c r="M136" s="305"/>
      <c r="N136" s="305"/>
      <c r="O136" s="305"/>
      <c r="P136" s="305"/>
      <c r="Q136" s="305"/>
      <c r="R136" s="305"/>
      <c r="S136" s="305"/>
      <c r="T136" s="305"/>
      <c r="U136" s="305"/>
      <c r="V136" s="305"/>
      <c r="W136" s="305"/>
      <c r="X136" s="305"/>
      <c r="Y136" s="305"/>
      <c r="Z136" s="305"/>
      <c r="AA136" s="305"/>
      <c r="AB136" s="305"/>
      <c r="AC136" s="305"/>
      <c r="AD136" s="305"/>
      <c r="AE136" s="305" t="s">
        <v>46</v>
      </c>
      <c r="AF136" s="305"/>
      <c r="AG136" s="305"/>
      <c r="AH136" s="305"/>
      <c r="AI136" s="305"/>
      <c r="AJ136" s="305"/>
      <c r="AK136" s="305"/>
      <c r="AL136" s="305"/>
      <c r="AM136" s="305"/>
      <c r="AN136" s="305"/>
      <c r="AO136" s="305"/>
      <c r="AP136" s="305"/>
      <c r="AQ136" s="305"/>
      <c r="AR136" s="305"/>
      <c r="AS136" s="305"/>
      <c r="AT136" s="305"/>
      <c r="AU136" s="305"/>
      <c r="AV136" s="305"/>
      <c r="AW136" s="305"/>
      <c r="AX136" s="305"/>
      <c r="AY136" s="305"/>
      <c r="AZ136" s="305"/>
      <c r="BA136" s="302"/>
      <c r="BB136" s="302"/>
      <c r="BC136" s="302"/>
      <c r="BD136" s="302"/>
      <c r="BE136" s="302"/>
      <c r="BF136" s="302"/>
      <c r="BG136" s="302"/>
      <c r="BH136" s="302"/>
      <c r="BI136" s="302"/>
      <c r="BJ136" s="302"/>
      <c r="BK136" s="302"/>
      <c r="BL136" s="302"/>
      <c r="BM136" s="302"/>
      <c r="BN136" s="302"/>
      <c r="BO136" s="302"/>
      <c r="BP136" s="302"/>
      <c r="BQ136" s="302"/>
      <c r="BR136" s="302"/>
      <c r="BS136" s="302"/>
      <c r="BT136" s="302"/>
      <c r="BU136" s="302"/>
    </row>
    <row r="137" spans="1:73" ht="14" thickBot="1">
      <c r="A137" s="302"/>
      <c r="B137" s="305"/>
      <c r="C137" s="305" t="s">
        <v>47</v>
      </c>
      <c r="D137" s="305"/>
      <c r="E137" s="305"/>
      <c r="F137" s="305"/>
      <c r="G137" s="305" t="s">
        <v>48</v>
      </c>
      <c r="H137" s="305"/>
      <c r="I137" s="305"/>
      <c r="J137" s="305"/>
      <c r="K137" s="305"/>
      <c r="L137" s="305"/>
      <c r="M137" s="305"/>
      <c r="N137" s="305"/>
      <c r="O137" s="305"/>
      <c r="P137" s="305"/>
      <c r="Q137" s="1186" t="s">
        <v>49</v>
      </c>
      <c r="R137" s="1187"/>
      <c r="S137" s="1187"/>
      <c r="T137" s="1187"/>
      <c r="U137" s="1187"/>
      <c r="V137" s="1187"/>
      <c r="W137" s="1187"/>
      <c r="X137" s="1187"/>
      <c r="Y137" s="1187"/>
      <c r="Z137" s="1187"/>
      <c r="AA137" s="1187"/>
      <c r="AB137" s="1187"/>
      <c r="AC137" s="1187"/>
      <c r="AD137" s="1188"/>
      <c r="AE137" s="313" t="s">
        <v>51</v>
      </c>
      <c r="AF137" s="310" t="s">
        <v>379</v>
      </c>
      <c r="AG137" s="1190" t="s">
        <v>53</v>
      </c>
      <c r="AH137" s="1191"/>
      <c r="AI137" s="1191"/>
      <c r="AJ137" s="1191"/>
      <c r="AK137" s="1191"/>
      <c r="AL137" s="1191"/>
      <c r="AM137" s="1191"/>
      <c r="AN137" s="1191"/>
      <c r="AO137" s="1191"/>
      <c r="AP137" s="1191"/>
      <c r="AQ137" s="1191"/>
      <c r="AR137" s="1191"/>
      <c r="AS137" s="1192"/>
      <c r="AT137" s="476" t="s">
        <v>54</v>
      </c>
      <c r="AU137" s="477"/>
      <c r="AV137" s="477"/>
      <c r="AW137" s="477"/>
      <c r="AX137" s="477"/>
      <c r="AY137" s="477"/>
      <c r="AZ137" s="477"/>
      <c r="BA137" s="477"/>
      <c r="BB137" s="477"/>
      <c r="BC137" s="477"/>
      <c r="BD137" s="477"/>
      <c r="BE137" s="477"/>
      <c r="BF137" s="478"/>
      <c r="BG137" s="1191" t="s">
        <v>55</v>
      </c>
      <c r="BH137" s="1191"/>
      <c r="BI137" s="1191"/>
      <c r="BJ137" s="1191"/>
      <c r="BK137" s="1191"/>
      <c r="BL137" s="1191"/>
      <c r="BM137" s="1191"/>
      <c r="BN137" s="1191"/>
      <c r="BO137" s="1191"/>
      <c r="BP137" s="1191"/>
      <c r="BQ137" s="1191"/>
      <c r="BR137" s="1191"/>
      <c r="BS137" s="1192"/>
      <c r="BT137" s="302"/>
      <c r="BU137" s="302"/>
    </row>
    <row r="138" spans="1:73" ht="14">
      <c r="A138" s="302"/>
      <c r="B138" s="305"/>
      <c r="C138" s="479" t="s">
        <v>16</v>
      </c>
      <c r="D138" s="480" t="s">
        <v>56</v>
      </c>
      <c r="E138" s="480" t="s">
        <v>57</v>
      </c>
      <c r="F138" s="481" t="s">
        <v>37</v>
      </c>
      <c r="G138" s="479" t="s">
        <v>16</v>
      </c>
      <c r="H138" s="480" t="s">
        <v>56</v>
      </c>
      <c r="I138" s="480" t="s">
        <v>57</v>
      </c>
      <c r="J138" s="481" t="s">
        <v>37</v>
      </c>
      <c r="K138" s="482" t="s">
        <v>58</v>
      </c>
      <c r="L138" s="480" t="s">
        <v>38</v>
      </c>
      <c r="M138" s="480" t="s">
        <v>59</v>
      </c>
      <c r="N138" s="479" t="s">
        <v>2</v>
      </c>
      <c r="O138" s="480" t="s">
        <v>380</v>
      </c>
      <c r="P138" s="481" t="s">
        <v>61</v>
      </c>
      <c r="Q138" s="374">
        <v>150</v>
      </c>
      <c r="R138" s="322">
        <v>225</v>
      </c>
      <c r="S138" s="322">
        <v>300</v>
      </c>
      <c r="T138" s="322">
        <v>375</v>
      </c>
      <c r="U138" s="322">
        <v>450</v>
      </c>
      <c r="V138" s="322">
        <v>525</v>
      </c>
      <c r="W138" s="322">
        <v>600</v>
      </c>
      <c r="X138" s="322">
        <v>675</v>
      </c>
      <c r="Y138" s="322">
        <v>750</v>
      </c>
      <c r="Z138" s="322">
        <v>900</v>
      </c>
      <c r="AA138" s="322">
        <v>1050</v>
      </c>
      <c r="AB138" s="322">
        <v>1200</v>
      </c>
      <c r="AC138" s="375">
        <v>1350</v>
      </c>
      <c r="AD138" s="309" t="s">
        <v>141</v>
      </c>
      <c r="AE138" s="322" t="s">
        <v>63</v>
      </c>
      <c r="AF138" s="374" t="s">
        <v>63</v>
      </c>
      <c r="AG138" s="483">
        <v>150</v>
      </c>
      <c r="AH138" s="484">
        <v>225</v>
      </c>
      <c r="AI138" s="484">
        <v>300</v>
      </c>
      <c r="AJ138" s="484">
        <v>375</v>
      </c>
      <c r="AK138" s="484">
        <v>450</v>
      </c>
      <c r="AL138" s="484">
        <v>525</v>
      </c>
      <c r="AM138" s="484">
        <v>600</v>
      </c>
      <c r="AN138" s="484">
        <v>675</v>
      </c>
      <c r="AO138" s="484">
        <v>750</v>
      </c>
      <c r="AP138" s="484">
        <v>900</v>
      </c>
      <c r="AQ138" s="484">
        <v>1050</v>
      </c>
      <c r="AR138" s="484">
        <v>1200</v>
      </c>
      <c r="AS138" s="485">
        <v>1350</v>
      </c>
      <c r="AT138" s="483">
        <v>150</v>
      </c>
      <c r="AU138" s="484">
        <v>225</v>
      </c>
      <c r="AV138" s="484">
        <v>300</v>
      </c>
      <c r="AW138" s="484">
        <v>375</v>
      </c>
      <c r="AX138" s="484">
        <v>450</v>
      </c>
      <c r="AY138" s="484">
        <v>525</v>
      </c>
      <c r="AZ138" s="484">
        <v>600</v>
      </c>
      <c r="BA138" s="484">
        <v>675</v>
      </c>
      <c r="BB138" s="484">
        <v>750</v>
      </c>
      <c r="BC138" s="484">
        <v>900</v>
      </c>
      <c r="BD138" s="484">
        <v>1050</v>
      </c>
      <c r="BE138" s="484">
        <v>1200</v>
      </c>
      <c r="BF138" s="485">
        <v>1350</v>
      </c>
      <c r="BG138" s="486">
        <v>150</v>
      </c>
      <c r="BH138" s="486">
        <v>225</v>
      </c>
      <c r="BI138" s="486">
        <v>300</v>
      </c>
      <c r="BJ138" s="486">
        <v>375</v>
      </c>
      <c r="BK138" s="486">
        <v>450</v>
      </c>
      <c r="BL138" s="486">
        <v>525</v>
      </c>
      <c r="BM138" s="486">
        <v>600</v>
      </c>
      <c r="BN138" s="486">
        <v>675</v>
      </c>
      <c r="BO138" s="486">
        <v>750</v>
      </c>
      <c r="BP138" s="486">
        <v>900</v>
      </c>
      <c r="BQ138" s="486">
        <v>1050</v>
      </c>
      <c r="BR138" s="486">
        <v>1200</v>
      </c>
      <c r="BS138" s="375">
        <v>1350</v>
      </c>
      <c r="BT138" s="302"/>
      <c r="BU138" s="302"/>
    </row>
    <row r="139" spans="1:73">
      <c r="A139" s="302"/>
      <c r="B139" s="302"/>
      <c r="C139" s="329" t="s">
        <v>381</v>
      </c>
      <c r="D139" s="383">
        <v>114.9</v>
      </c>
      <c r="E139" s="383">
        <v>112.42100000000001</v>
      </c>
      <c r="F139" s="487">
        <f t="shared" ref="F139:F166" si="93">D139-E139</f>
        <v>2.4789999999999992</v>
      </c>
      <c r="G139" s="329" t="s">
        <v>382</v>
      </c>
      <c r="H139" s="383">
        <v>115.669</v>
      </c>
      <c r="I139" s="383">
        <v>112.22199999999999</v>
      </c>
      <c r="J139" s="487">
        <f t="shared" ref="J139:J166" si="94">H139-I139</f>
        <v>3.4470000000000027</v>
      </c>
      <c r="K139" s="328">
        <f t="shared" ref="K139:K166" si="95">CEILING((F139+J139)/2,0.25)</f>
        <v>3</v>
      </c>
      <c r="L139" s="382">
        <v>27</v>
      </c>
      <c r="M139" s="382">
        <v>600</v>
      </c>
      <c r="N139" s="488">
        <f t="shared" ref="N139:N166" si="96">SUM(AT139:BF139)</f>
        <v>233</v>
      </c>
      <c r="O139" s="330">
        <v>106</v>
      </c>
      <c r="P139" s="331">
        <f t="shared" ref="P139:P166" si="97">IF((N139-O139)&gt;0,N139-O139,0)</f>
        <v>127</v>
      </c>
      <c r="Q139" s="489" t="str">
        <f t="shared" ref="Q139:Q166" si="98">IF($M139=$Q$7,$L139*$P139,"")</f>
        <v/>
      </c>
      <c r="R139" s="490" t="str">
        <f t="shared" ref="R139:R166" si="99">IF($M139=$R$7,$L139*$P139,"")</f>
        <v/>
      </c>
      <c r="S139" s="490" t="str">
        <f t="shared" ref="S139:S166" si="100">IF($M139=$S$7,$L139*$P139,"")</f>
        <v/>
      </c>
      <c r="T139" s="490" t="str">
        <f t="shared" ref="T139:T166" si="101">IF($M139=$T$7,$L139*$P139,"")</f>
        <v/>
      </c>
      <c r="U139" s="490" t="str">
        <f t="shared" ref="U139:U166" si="102">IF($M139=$U$7,$L139*$P139,"")</f>
        <v/>
      </c>
      <c r="V139" s="490" t="str">
        <f t="shared" ref="V139:V166" si="103">IF($M139=$V$7,$L139*$P139,"")</f>
        <v/>
      </c>
      <c r="W139" s="490">
        <f t="shared" ref="W139:W166" si="104">IF($M139=$W$7,$L139*$P139,"")</f>
        <v>3429</v>
      </c>
      <c r="X139" s="490" t="str">
        <f t="shared" ref="X139:X166" si="105">IF($M139=$X$7,$L139*$P139,"")</f>
        <v/>
      </c>
      <c r="Y139" s="490" t="str">
        <f t="shared" ref="Y139:Y166" si="106">IF($M139=$Y$7,$L139*$P139,"")</f>
        <v/>
      </c>
      <c r="Z139" s="490" t="str">
        <f t="shared" ref="Z139:Z166" si="107">IF($M139=$Z$7,$L139*$P139,"")</f>
        <v/>
      </c>
      <c r="AA139" s="490" t="str">
        <f t="shared" ref="AA139:AA166" si="108">IF($M139=$AA$7,$L139*$P139,"")</f>
        <v/>
      </c>
      <c r="AB139" s="490" t="str">
        <f t="shared" ref="AB139:AB166" si="109">IF($M139=$AB$7,$L139*$P139,"")</f>
        <v/>
      </c>
      <c r="AC139" s="335" t="str">
        <f t="shared" ref="AC139:AC166" si="110">IF($M139=$AC$7,$L139*$P139,"")</f>
        <v/>
      </c>
      <c r="AD139" s="396"/>
      <c r="AE139" s="491">
        <f t="shared" ref="AE139:AE166" si="111">((M139/1000)+0.225*2)*(K139-0.45)*L139</f>
        <v>72.29249999999999</v>
      </c>
      <c r="AF139" s="491">
        <f t="shared" ref="AF139:AF166" si="112">IF(K139&gt;0,(0.6*(1.5-0.45)*L139),0)</f>
        <v>17.010000000000002</v>
      </c>
      <c r="AG139" s="492">
        <v>125</v>
      </c>
      <c r="AH139" s="376">
        <v>154</v>
      </c>
      <c r="AI139" s="376">
        <v>171</v>
      </c>
      <c r="AJ139" s="376">
        <v>200</v>
      </c>
      <c r="AK139" s="376">
        <v>218</v>
      </c>
      <c r="AL139" s="376">
        <v>221</v>
      </c>
      <c r="AM139" s="376">
        <v>233</v>
      </c>
      <c r="AN139" s="376">
        <v>251</v>
      </c>
      <c r="AO139" s="376">
        <v>281</v>
      </c>
      <c r="AP139" s="376">
        <v>361</v>
      </c>
      <c r="AQ139" s="376">
        <v>411</v>
      </c>
      <c r="AR139" s="376">
        <v>496</v>
      </c>
      <c r="AS139" s="493">
        <v>556</v>
      </c>
      <c r="AT139" s="492">
        <f t="shared" ref="AT139:AT166" si="113">IF($M139=$AH$7,AG139,0)</f>
        <v>0</v>
      </c>
      <c r="AU139" s="376">
        <f t="shared" ref="AU139:AU166" si="114">IF($M139=$AI$7,AH139,0)</f>
        <v>0</v>
      </c>
      <c r="AV139" s="376">
        <f t="shared" ref="AV139:AV166" si="115">IF($M139=$AJ$7,AI139,0)</f>
        <v>0</v>
      </c>
      <c r="AW139" s="376">
        <f t="shared" ref="AW139:AW166" si="116">IF($M139=$AK$7,AJ139,0)</f>
        <v>0</v>
      </c>
      <c r="AX139" s="376">
        <f t="shared" ref="AX139:AX166" si="117">IF($M139=$AL$7,AK139,0)</f>
        <v>0</v>
      </c>
      <c r="AY139" s="376">
        <f t="shared" ref="AY139:AY166" si="118">IF($M139=$AM$7,AL139,0)</f>
        <v>0</v>
      </c>
      <c r="AZ139" s="376">
        <f t="shared" ref="AZ139:AZ166" si="119">IF($M139=$AN$7,AM139,0)</f>
        <v>233</v>
      </c>
      <c r="BA139" s="376">
        <f t="shared" ref="BA139:BA166" si="120">IF($M139=$AO$7,AN139,0)</f>
        <v>0</v>
      </c>
      <c r="BB139" s="376">
        <f t="shared" ref="BB139:BB166" si="121">IF($M139=$AP$7,AO139,0)</f>
        <v>0</v>
      </c>
      <c r="BC139" s="376">
        <f t="shared" ref="BC139:BC166" si="122">IF($M139=$AQ$7,AP139,0)</f>
        <v>0</v>
      </c>
      <c r="BD139" s="376">
        <f t="shared" ref="BD139:BD166" si="123">IF($M139=$AR$7,AQ139,0)</f>
        <v>0</v>
      </c>
      <c r="BE139" s="376">
        <f t="shared" ref="BE139:BE166" si="124">IF($M139=$AS$7,AR139,0)</f>
        <v>0</v>
      </c>
      <c r="BF139" s="493">
        <f t="shared" ref="BF139:BF166" si="125">IF($M139=$AT$7,AS139,0)</f>
        <v>0</v>
      </c>
      <c r="BG139" s="492" t="str">
        <f t="shared" ref="BG139:BG166" si="126">IF($M139=$Q$7,$L139,"")</f>
        <v/>
      </c>
      <c r="BH139" s="376" t="str">
        <f t="shared" ref="BH139:BH166" si="127">IF($M139=$R$7,$L139,"")</f>
        <v/>
      </c>
      <c r="BI139" s="376" t="str">
        <f t="shared" ref="BI139:BI166" si="128">IF($M139=$S$7,$L139,"")</f>
        <v/>
      </c>
      <c r="BJ139" s="376" t="str">
        <f t="shared" ref="BJ139:BJ166" si="129">IF($M139=$T$7,$L139,"")</f>
        <v/>
      </c>
      <c r="BK139" s="376" t="str">
        <f t="shared" ref="BK139:BK166" si="130">IF($M139=$U$7,$L139,"")</f>
        <v/>
      </c>
      <c r="BL139" s="376" t="str">
        <f t="shared" ref="BL139:BL166" si="131">IF($M139=$V$7,$L139,"")</f>
        <v/>
      </c>
      <c r="BM139" s="376">
        <f t="shared" ref="BM139:BM166" si="132">IF($M139=$W$7,$L139,"")</f>
        <v>27</v>
      </c>
      <c r="BN139" s="376" t="str">
        <f t="shared" ref="BN139:BN166" si="133">IF($M139=$X$7,$L139,"")</f>
        <v/>
      </c>
      <c r="BO139" s="376" t="str">
        <f t="shared" ref="BO139:BO166" si="134">IF($M139=$Y$7,$L139,"")</f>
        <v/>
      </c>
      <c r="BP139" s="376" t="str">
        <f t="shared" ref="BP139:BP166" si="135">IF($M139=$Z$7,$L139,"")</f>
        <v/>
      </c>
      <c r="BQ139" s="376" t="str">
        <f t="shared" ref="BQ139:BQ166" si="136">IF($M139=$AA$7,$L139,"")</f>
        <v/>
      </c>
      <c r="BR139" s="376" t="str">
        <f t="shared" ref="BR139:BR166" si="137">IF($M139=$AB$7,$L139,"")</f>
        <v/>
      </c>
      <c r="BS139" s="493" t="str">
        <f t="shared" ref="BS139:BS166" si="138">IF($M139=$AC$7,$L139,"")</f>
        <v/>
      </c>
      <c r="BT139" s="302"/>
      <c r="BU139" s="302"/>
    </row>
    <row r="140" spans="1:73">
      <c r="A140" s="302"/>
      <c r="B140" s="302"/>
      <c r="C140" s="325" t="s">
        <v>382</v>
      </c>
      <c r="D140" s="326">
        <v>115.669</v>
      </c>
      <c r="E140" s="326">
        <v>112.22199999999999</v>
      </c>
      <c r="F140" s="327">
        <f t="shared" si="93"/>
        <v>3.4470000000000027</v>
      </c>
      <c r="G140" s="325" t="s">
        <v>383</v>
      </c>
      <c r="H140" s="326">
        <v>116.41500000000001</v>
      </c>
      <c r="I140" s="326">
        <v>112.003</v>
      </c>
      <c r="J140" s="327">
        <f t="shared" si="94"/>
        <v>4.4120000000000061</v>
      </c>
      <c r="K140" s="343">
        <f t="shared" si="95"/>
        <v>4</v>
      </c>
      <c r="L140" s="394">
        <v>30</v>
      </c>
      <c r="M140" s="394">
        <v>600</v>
      </c>
      <c r="N140" s="494">
        <f t="shared" si="96"/>
        <v>301</v>
      </c>
      <c r="O140" s="345">
        <v>106</v>
      </c>
      <c r="P140" s="346">
        <f t="shared" si="97"/>
        <v>195</v>
      </c>
      <c r="Q140" s="489" t="str">
        <f t="shared" si="98"/>
        <v/>
      </c>
      <c r="R140" s="490" t="str">
        <f t="shared" si="99"/>
        <v/>
      </c>
      <c r="S140" s="490" t="str">
        <f t="shared" si="100"/>
        <v/>
      </c>
      <c r="T140" s="490" t="str">
        <f t="shared" si="101"/>
        <v/>
      </c>
      <c r="U140" s="490" t="str">
        <f t="shared" si="102"/>
        <v/>
      </c>
      <c r="V140" s="490" t="str">
        <f t="shared" si="103"/>
        <v/>
      </c>
      <c r="W140" s="490">
        <f t="shared" si="104"/>
        <v>5850</v>
      </c>
      <c r="X140" s="490" t="str">
        <f t="shared" si="105"/>
        <v/>
      </c>
      <c r="Y140" s="490" t="str">
        <f t="shared" si="106"/>
        <v/>
      </c>
      <c r="Z140" s="490" t="str">
        <f t="shared" si="107"/>
        <v/>
      </c>
      <c r="AA140" s="490" t="str">
        <f t="shared" si="108"/>
        <v/>
      </c>
      <c r="AB140" s="490" t="str">
        <f t="shared" si="109"/>
        <v/>
      </c>
      <c r="AC140" s="335" t="str">
        <f t="shared" si="110"/>
        <v/>
      </c>
      <c r="AD140" s="396"/>
      <c r="AE140" s="495">
        <f t="shared" si="111"/>
        <v>111.825</v>
      </c>
      <c r="AF140" s="495">
        <f t="shared" si="112"/>
        <v>18.899999999999999</v>
      </c>
      <c r="AG140" s="496">
        <v>195</v>
      </c>
      <c r="AH140" s="304">
        <v>225</v>
      </c>
      <c r="AI140" s="304">
        <v>251</v>
      </c>
      <c r="AJ140" s="304">
        <v>265</v>
      </c>
      <c r="AK140" s="304">
        <v>275</v>
      </c>
      <c r="AL140" s="304">
        <v>277</v>
      </c>
      <c r="AM140" s="304">
        <v>301</v>
      </c>
      <c r="AN140" s="304">
        <v>319</v>
      </c>
      <c r="AO140" s="304">
        <v>361</v>
      </c>
      <c r="AP140" s="304">
        <v>441</v>
      </c>
      <c r="AQ140" s="304">
        <v>491</v>
      </c>
      <c r="AR140" s="304">
        <v>594</v>
      </c>
      <c r="AS140" s="497">
        <v>654</v>
      </c>
      <c r="AT140" s="496">
        <f t="shared" si="113"/>
        <v>0</v>
      </c>
      <c r="AU140" s="304">
        <f t="shared" si="114"/>
        <v>0</v>
      </c>
      <c r="AV140" s="304">
        <f t="shared" si="115"/>
        <v>0</v>
      </c>
      <c r="AW140" s="304">
        <f t="shared" si="116"/>
        <v>0</v>
      </c>
      <c r="AX140" s="304">
        <f t="shared" si="117"/>
        <v>0</v>
      </c>
      <c r="AY140" s="304">
        <f t="shared" si="118"/>
        <v>0</v>
      </c>
      <c r="AZ140" s="304">
        <f t="shared" si="119"/>
        <v>301</v>
      </c>
      <c r="BA140" s="304">
        <f t="shared" si="120"/>
        <v>0</v>
      </c>
      <c r="BB140" s="304">
        <f t="shared" si="121"/>
        <v>0</v>
      </c>
      <c r="BC140" s="304">
        <f t="shared" si="122"/>
        <v>0</v>
      </c>
      <c r="BD140" s="304">
        <f t="shared" si="123"/>
        <v>0</v>
      </c>
      <c r="BE140" s="304">
        <f t="shared" si="124"/>
        <v>0</v>
      </c>
      <c r="BF140" s="497">
        <f t="shared" si="125"/>
        <v>0</v>
      </c>
      <c r="BG140" s="496" t="str">
        <f t="shared" si="126"/>
        <v/>
      </c>
      <c r="BH140" s="304" t="str">
        <f t="shared" si="127"/>
        <v/>
      </c>
      <c r="BI140" s="304" t="str">
        <f t="shared" si="128"/>
        <v/>
      </c>
      <c r="BJ140" s="304" t="str">
        <f t="shared" si="129"/>
        <v/>
      </c>
      <c r="BK140" s="304" t="str">
        <f t="shared" si="130"/>
        <v/>
      </c>
      <c r="BL140" s="304" t="str">
        <f t="shared" si="131"/>
        <v/>
      </c>
      <c r="BM140" s="304">
        <f t="shared" si="132"/>
        <v>30</v>
      </c>
      <c r="BN140" s="304" t="str">
        <f t="shared" si="133"/>
        <v/>
      </c>
      <c r="BO140" s="304" t="str">
        <f t="shared" si="134"/>
        <v/>
      </c>
      <c r="BP140" s="304" t="str">
        <f t="shared" si="135"/>
        <v/>
      </c>
      <c r="BQ140" s="304" t="str">
        <f t="shared" si="136"/>
        <v/>
      </c>
      <c r="BR140" s="304" t="str">
        <f t="shared" si="137"/>
        <v/>
      </c>
      <c r="BS140" s="497" t="str">
        <f t="shared" si="138"/>
        <v/>
      </c>
      <c r="BT140" s="302"/>
      <c r="BU140" s="302"/>
    </row>
    <row r="141" spans="1:73">
      <c r="A141" s="302"/>
      <c r="B141" s="302"/>
      <c r="C141" s="325" t="s">
        <v>383</v>
      </c>
      <c r="D141" s="326">
        <v>116.41500000000001</v>
      </c>
      <c r="E141" s="326">
        <v>112.003</v>
      </c>
      <c r="F141" s="327">
        <f t="shared" si="93"/>
        <v>4.4120000000000061</v>
      </c>
      <c r="G141" s="325" t="s">
        <v>384</v>
      </c>
      <c r="H141" s="326">
        <v>117.059</v>
      </c>
      <c r="I141" s="326">
        <v>111.81699999999999</v>
      </c>
      <c r="J141" s="327">
        <f t="shared" si="94"/>
        <v>5.2420000000000044</v>
      </c>
      <c r="K141" s="343">
        <f t="shared" si="95"/>
        <v>5</v>
      </c>
      <c r="L141" s="394">
        <v>25</v>
      </c>
      <c r="M141" s="394">
        <v>600</v>
      </c>
      <c r="N141" s="494">
        <f t="shared" si="96"/>
        <v>369</v>
      </c>
      <c r="O141" s="345">
        <v>106</v>
      </c>
      <c r="P141" s="346">
        <f t="shared" si="97"/>
        <v>263</v>
      </c>
      <c r="Q141" s="489" t="str">
        <f t="shared" si="98"/>
        <v/>
      </c>
      <c r="R141" s="490" t="str">
        <f t="shared" si="99"/>
        <v/>
      </c>
      <c r="S141" s="490" t="str">
        <f t="shared" si="100"/>
        <v/>
      </c>
      <c r="T141" s="490" t="str">
        <f t="shared" si="101"/>
        <v/>
      </c>
      <c r="U141" s="490" t="str">
        <f t="shared" si="102"/>
        <v/>
      </c>
      <c r="V141" s="490" t="str">
        <f t="shared" si="103"/>
        <v/>
      </c>
      <c r="W141" s="490">
        <f t="shared" si="104"/>
        <v>6575</v>
      </c>
      <c r="X141" s="490" t="str">
        <f t="shared" si="105"/>
        <v/>
      </c>
      <c r="Y141" s="490" t="str">
        <f t="shared" si="106"/>
        <v/>
      </c>
      <c r="Z141" s="490" t="str">
        <f t="shared" si="107"/>
        <v/>
      </c>
      <c r="AA141" s="490" t="str">
        <f t="shared" si="108"/>
        <v/>
      </c>
      <c r="AB141" s="490" t="str">
        <f t="shared" si="109"/>
        <v/>
      </c>
      <c r="AC141" s="335" t="str">
        <f t="shared" si="110"/>
        <v/>
      </c>
      <c r="AD141" s="396"/>
      <c r="AE141" s="495">
        <f t="shared" si="111"/>
        <v>119.4375</v>
      </c>
      <c r="AF141" s="495">
        <f t="shared" si="112"/>
        <v>15.75</v>
      </c>
      <c r="AG141" s="496">
        <v>245</v>
      </c>
      <c r="AH141" s="304">
        <v>311</v>
      </c>
      <c r="AI141" s="304">
        <v>331</v>
      </c>
      <c r="AJ141" s="304">
        <v>356</v>
      </c>
      <c r="AK141" s="304">
        <v>361</v>
      </c>
      <c r="AL141" s="304">
        <v>357</v>
      </c>
      <c r="AM141" s="304">
        <v>369</v>
      </c>
      <c r="AN141" s="304">
        <v>387</v>
      </c>
      <c r="AO141" s="304">
        <v>431</v>
      </c>
      <c r="AP141" s="304">
        <v>511</v>
      </c>
      <c r="AQ141" s="304">
        <v>561</v>
      </c>
      <c r="AR141" s="304">
        <v>660</v>
      </c>
      <c r="AS141" s="497">
        <v>720</v>
      </c>
      <c r="AT141" s="496">
        <f t="shared" si="113"/>
        <v>0</v>
      </c>
      <c r="AU141" s="304">
        <f t="shared" si="114"/>
        <v>0</v>
      </c>
      <c r="AV141" s="304">
        <f t="shared" si="115"/>
        <v>0</v>
      </c>
      <c r="AW141" s="304">
        <f t="shared" si="116"/>
        <v>0</v>
      </c>
      <c r="AX141" s="304">
        <f t="shared" si="117"/>
        <v>0</v>
      </c>
      <c r="AY141" s="304">
        <f t="shared" si="118"/>
        <v>0</v>
      </c>
      <c r="AZ141" s="304">
        <f t="shared" si="119"/>
        <v>369</v>
      </c>
      <c r="BA141" s="304">
        <f t="shared" si="120"/>
        <v>0</v>
      </c>
      <c r="BB141" s="304">
        <f t="shared" si="121"/>
        <v>0</v>
      </c>
      <c r="BC141" s="304">
        <f t="shared" si="122"/>
        <v>0</v>
      </c>
      <c r="BD141" s="304">
        <f t="shared" si="123"/>
        <v>0</v>
      </c>
      <c r="BE141" s="304">
        <f t="shared" si="124"/>
        <v>0</v>
      </c>
      <c r="BF141" s="497">
        <f t="shared" si="125"/>
        <v>0</v>
      </c>
      <c r="BG141" s="496" t="str">
        <f t="shared" si="126"/>
        <v/>
      </c>
      <c r="BH141" s="304" t="str">
        <f t="shared" si="127"/>
        <v/>
      </c>
      <c r="BI141" s="304" t="str">
        <f t="shared" si="128"/>
        <v/>
      </c>
      <c r="BJ141" s="304" t="str">
        <f t="shared" si="129"/>
        <v/>
      </c>
      <c r="BK141" s="304" t="str">
        <f t="shared" si="130"/>
        <v/>
      </c>
      <c r="BL141" s="304" t="str">
        <f t="shared" si="131"/>
        <v/>
      </c>
      <c r="BM141" s="304">
        <f t="shared" si="132"/>
        <v>25</v>
      </c>
      <c r="BN141" s="304" t="str">
        <f t="shared" si="133"/>
        <v/>
      </c>
      <c r="BO141" s="304" t="str">
        <f t="shared" si="134"/>
        <v/>
      </c>
      <c r="BP141" s="304" t="str">
        <f t="shared" si="135"/>
        <v/>
      </c>
      <c r="BQ141" s="304" t="str">
        <f t="shared" si="136"/>
        <v/>
      </c>
      <c r="BR141" s="304" t="str">
        <f t="shared" si="137"/>
        <v/>
      </c>
      <c r="BS141" s="497" t="str">
        <f t="shared" si="138"/>
        <v/>
      </c>
      <c r="BT141" s="302"/>
      <c r="BU141" s="302"/>
    </row>
    <row r="142" spans="1:73">
      <c r="A142" s="302"/>
      <c r="B142" s="302"/>
      <c r="C142" s="325" t="s">
        <v>384</v>
      </c>
      <c r="D142" s="326">
        <v>117.059</v>
      </c>
      <c r="E142" s="326">
        <v>111.81699999999999</v>
      </c>
      <c r="F142" s="327">
        <f t="shared" si="93"/>
        <v>5.2420000000000044</v>
      </c>
      <c r="G142" s="325" t="s">
        <v>385</v>
      </c>
      <c r="H142" s="326">
        <v>117.059</v>
      </c>
      <c r="I142" s="326">
        <v>111.723</v>
      </c>
      <c r="J142" s="327">
        <f t="shared" si="94"/>
        <v>5.3359999999999985</v>
      </c>
      <c r="K142" s="343">
        <f t="shared" si="95"/>
        <v>5.5</v>
      </c>
      <c r="L142" s="394">
        <v>13</v>
      </c>
      <c r="M142" s="394">
        <v>600</v>
      </c>
      <c r="N142" s="494">
        <f t="shared" si="96"/>
        <v>403</v>
      </c>
      <c r="O142" s="345">
        <v>106</v>
      </c>
      <c r="P142" s="346">
        <f t="shared" si="97"/>
        <v>297</v>
      </c>
      <c r="Q142" s="489" t="str">
        <f t="shared" si="98"/>
        <v/>
      </c>
      <c r="R142" s="490" t="str">
        <f t="shared" si="99"/>
        <v/>
      </c>
      <c r="S142" s="490" t="str">
        <f t="shared" si="100"/>
        <v/>
      </c>
      <c r="T142" s="490" t="str">
        <f t="shared" si="101"/>
        <v/>
      </c>
      <c r="U142" s="490" t="str">
        <f t="shared" si="102"/>
        <v/>
      </c>
      <c r="V142" s="490" t="str">
        <f t="shared" si="103"/>
        <v/>
      </c>
      <c r="W142" s="490">
        <f t="shared" si="104"/>
        <v>3861</v>
      </c>
      <c r="X142" s="490" t="str">
        <f t="shared" si="105"/>
        <v/>
      </c>
      <c r="Y142" s="490" t="str">
        <f t="shared" si="106"/>
        <v/>
      </c>
      <c r="Z142" s="490" t="str">
        <f t="shared" si="107"/>
        <v/>
      </c>
      <c r="AA142" s="490" t="str">
        <f t="shared" si="108"/>
        <v/>
      </c>
      <c r="AB142" s="490" t="str">
        <f t="shared" si="109"/>
        <v/>
      </c>
      <c r="AC142" s="335" t="str">
        <f t="shared" si="110"/>
        <v/>
      </c>
      <c r="AD142" s="396"/>
      <c r="AE142" s="495">
        <f t="shared" si="111"/>
        <v>68.932500000000005</v>
      </c>
      <c r="AF142" s="495">
        <f t="shared" si="112"/>
        <v>8.19</v>
      </c>
      <c r="AG142" s="496">
        <v>269</v>
      </c>
      <c r="AH142" s="304">
        <v>341</v>
      </c>
      <c r="AI142" s="304">
        <v>371</v>
      </c>
      <c r="AJ142" s="304">
        <v>403</v>
      </c>
      <c r="AK142" s="304">
        <v>401</v>
      </c>
      <c r="AL142" s="304">
        <v>404</v>
      </c>
      <c r="AM142" s="304">
        <v>403</v>
      </c>
      <c r="AN142" s="304">
        <v>421</v>
      </c>
      <c r="AO142" s="304">
        <v>465</v>
      </c>
      <c r="AP142" s="304">
        <v>545</v>
      </c>
      <c r="AQ142" s="304">
        <v>595</v>
      </c>
      <c r="AR142" s="304">
        <v>704</v>
      </c>
      <c r="AS142" s="497">
        <v>764</v>
      </c>
      <c r="AT142" s="496">
        <f t="shared" si="113"/>
        <v>0</v>
      </c>
      <c r="AU142" s="304">
        <f t="shared" si="114"/>
        <v>0</v>
      </c>
      <c r="AV142" s="304">
        <f t="shared" si="115"/>
        <v>0</v>
      </c>
      <c r="AW142" s="304">
        <f t="shared" si="116"/>
        <v>0</v>
      </c>
      <c r="AX142" s="304">
        <f t="shared" si="117"/>
        <v>0</v>
      </c>
      <c r="AY142" s="304">
        <f t="shared" si="118"/>
        <v>0</v>
      </c>
      <c r="AZ142" s="304">
        <f t="shared" si="119"/>
        <v>403</v>
      </c>
      <c r="BA142" s="304">
        <f t="shared" si="120"/>
        <v>0</v>
      </c>
      <c r="BB142" s="304">
        <f t="shared" si="121"/>
        <v>0</v>
      </c>
      <c r="BC142" s="304">
        <f t="shared" si="122"/>
        <v>0</v>
      </c>
      <c r="BD142" s="304">
        <f t="shared" si="123"/>
        <v>0</v>
      </c>
      <c r="BE142" s="304">
        <f t="shared" si="124"/>
        <v>0</v>
      </c>
      <c r="BF142" s="497">
        <f t="shared" si="125"/>
        <v>0</v>
      </c>
      <c r="BG142" s="496" t="str">
        <f t="shared" si="126"/>
        <v/>
      </c>
      <c r="BH142" s="304" t="str">
        <f t="shared" si="127"/>
        <v/>
      </c>
      <c r="BI142" s="304" t="str">
        <f t="shared" si="128"/>
        <v/>
      </c>
      <c r="BJ142" s="304" t="str">
        <f t="shared" si="129"/>
        <v/>
      </c>
      <c r="BK142" s="304" t="str">
        <f t="shared" si="130"/>
        <v/>
      </c>
      <c r="BL142" s="304" t="str">
        <f t="shared" si="131"/>
        <v/>
      </c>
      <c r="BM142" s="304">
        <f t="shared" si="132"/>
        <v>13</v>
      </c>
      <c r="BN142" s="304" t="str">
        <f t="shared" si="133"/>
        <v/>
      </c>
      <c r="BO142" s="304" t="str">
        <f t="shared" si="134"/>
        <v/>
      </c>
      <c r="BP142" s="304" t="str">
        <f t="shared" si="135"/>
        <v/>
      </c>
      <c r="BQ142" s="304" t="str">
        <f t="shared" si="136"/>
        <v/>
      </c>
      <c r="BR142" s="304" t="str">
        <f t="shared" si="137"/>
        <v/>
      </c>
      <c r="BS142" s="497" t="str">
        <f t="shared" si="138"/>
        <v/>
      </c>
      <c r="BT142" s="302"/>
      <c r="BU142" s="302"/>
    </row>
    <row r="143" spans="1:73">
      <c r="A143" s="302"/>
      <c r="B143" s="302"/>
      <c r="C143" s="325" t="s">
        <v>385</v>
      </c>
      <c r="D143" s="326">
        <v>117.059</v>
      </c>
      <c r="E143" s="326">
        <v>111.723</v>
      </c>
      <c r="F143" s="327">
        <f t="shared" si="93"/>
        <v>5.3359999999999985</v>
      </c>
      <c r="G143" s="325" t="s">
        <v>386</v>
      </c>
      <c r="H143" s="326">
        <v>118</v>
      </c>
      <c r="I143" s="326">
        <v>111.489</v>
      </c>
      <c r="J143" s="327">
        <f t="shared" si="94"/>
        <v>6.5109999999999957</v>
      </c>
      <c r="K143" s="343">
        <f t="shared" si="95"/>
        <v>6</v>
      </c>
      <c r="L143" s="394">
        <v>32</v>
      </c>
      <c r="M143" s="394">
        <v>600</v>
      </c>
      <c r="N143" s="494">
        <f t="shared" si="96"/>
        <v>437</v>
      </c>
      <c r="O143" s="345">
        <v>106</v>
      </c>
      <c r="P143" s="346">
        <f t="shared" si="97"/>
        <v>331</v>
      </c>
      <c r="Q143" s="489" t="str">
        <f t="shared" si="98"/>
        <v/>
      </c>
      <c r="R143" s="490" t="str">
        <f t="shared" si="99"/>
        <v/>
      </c>
      <c r="S143" s="490" t="str">
        <f t="shared" si="100"/>
        <v/>
      </c>
      <c r="T143" s="490" t="str">
        <f t="shared" si="101"/>
        <v/>
      </c>
      <c r="U143" s="490" t="str">
        <f t="shared" si="102"/>
        <v/>
      </c>
      <c r="V143" s="490" t="str">
        <f t="shared" si="103"/>
        <v/>
      </c>
      <c r="W143" s="490">
        <f t="shared" si="104"/>
        <v>10592</v>
      </c>
      <c r="X143" s="490" t="str">
        <f t="shared" si="105"/>
        <v/>
      </c>
      <c r="Y143" s="490" t="str">
        <f t="shared" si="106"/>
        <v/>
      </c>
      <c r="Z143" s="490" t="str">
        <f t="shared" si="107"/>
        <v/>
      </c>
      <c r="AA143" s="490" t="str">
        <f t="shared" si="108"/>
        <v/>
      </c>
      <c r="AB143" s="490" t="str">
        <f t="shared" si="109"/>
        <v/>
      </c>
      <c r="AC143" s="335" t="str">
        <f t="shared" si="110"/>
        <v/>
      </c>
      <c r="AD143" s="396"/>
      <c r="AE143" s="495">
        <f t="shared" si="111"/>
        <v>186.48</v>
      </c>
      <c r="AF143" s="495">
        <f t="shared" si="112"/>
        <v>20.16</v>
      </c>
      <c r="AG143" s="496">
        <v>292</v>
      </c>
      <c r="AH143" s="304">
        <v>371</v>
      </c>
      <c r="AI143" s="304">
        <v>0</v>
      </c>
      <c r="AJ143" s="304">
        <v>0</v>
      </c>
      <c r="AK143" s="304">
        <v>425</v>
      </c>
      <c r="AL143" s="304">
        <v>430</v>
      </c>
      <c r="AM143" s="304">
        <v>437</v>
      </c>
      <c r="AN143" s="304">
        <v>455</v>
      </c>
      <c r="AO143" s="304">
        <v>499</v>
      </c>
      <c r="AP143" s="304">
        <v>579</v>
      </c>
      <c r="AQ143" s="304">
        <v>629</v>
      </c>
      <c r="AR143" s="304">
        <v>738</v>
      </c>
      <c r="AS143" s="497">
        <v>798</v>
      </c>
      <c r="AT143" s="496">
        <f t="shared" si="113"/>
        <v>0</v>
      </c>
      <c r="AU143" s="304">
        <f t="shared" si="114"/>
        <v>0</v>
      </c>
      <c r="AV143" s="304">
        <f t="shared" si="115"/>
        <v>0</v>
      </c>
      <c r="AW143" s="304">
        <f t="shared" si="116"/>
        <v>0</v>
      </c>
      <c r="AX143" s="304">
        <f t="shared" si="117"/>
        <v>0</v>
      </c>
      <c r="AY143" s="304">
        <f t="shared" si="118"/>
        <v>0</v>
      </c>
      <c r="AZ143" s="304">
        <f t="shared" si="119"/>
        <v>437</v>
      </c>
      <c r="BA143" s="304">
        <f t="shared" si="120"/>
        <v>0</v>
      </c>
      <c r="BB143" s="304">
        <f t="shared" si="121"/>
        <v>0</v>
      </c>
      <c r="BC143" s="304">
        <f t="shared" si="122"/>
        <v>0</v>
      </c>
      <c r="BD143" s="304">
        <f t="shared" si="123"/>
        <v>0</v>
      </c>
      <c r="BE143" s="304">
        <f t="shared" si="124"/>
        <v>0</v>
      </c>
      <c r="BF143" s="497">
        <f t="shared" si="125"/>
        <v>0</v>
      </c>
      <c r="BG143" s="496" t="str">
        <f t="shared" si="126"/>
        <v/>
      </c>
      <c r="BH143" s="304" t="str">
        <f t="shared" si="127"/>
        <v/>
      </c>
      <c r="BI143" s="304" t="str">
        <f t="shared" si="128"/>
        <v/>
      </c>
      <c r="BJ143" s="304" t="str">
        <f t="shared" si="129"/>
        <v/>
      </c>
      <c r="BK143" s="304" t="str">
        <f t="shared" si="130"/>
        <v/>
      </c>
      <c r="BL143" s="304" t="str">
        <f t="shared" si="131"/>
        <v/>
      </c>
      <c r="BM143" s="304">
        <f t="shared" si="132"/>
        <v>32</v>
      </c>
      <c r="BN143" s="304" t="str">
        <f t="shared" si="133"/>
        <v/>
      </c>
      <c r="BO143" s="304" t="str">
        <f t="shared" si="134"/>
        <v/>
      </c>
      <c r="BP143" s="304" t="str">
        <f t="shared" si="135"/>
        <v/>
      </c>
      <c r="BQ143" s="304" t="str">
        <f t="shared" si="136"/>
        <v/>
      </c>
      <c r="BR143" s="304" t="str">
        <f t="shared" si="137"/>
        <v/>
      </c>
      <c r="BS143" s="497" t="str">
        <f t="shared" si="138"/>
        <v/>
      </c>
      <c r="BT143" s="302"/>
      <c r="BU143" s="302"/>
    </row>
    <row r="144" spans="1:73">
      <c r="A144" s="302"/>
      <c r="B144" s="302"/>
      <c r="C144" s="325" t="s">
        <v>386</v>
      </c>
      <c r="D144" s="326">
        <v>118</v>
      </c>
      <c r="E144" s="326">
        <v>111.489</v>
      </c>
      <c r="F144" s="327">
        <f t="shared" si="93"/>
        <v>6.5109999999999957</v>
      </c>
      <c r="G144" s="325" t="s">
        <v>387</v>
      </c>
      <c r="H144" s="326">
        <v>118</v>
      </c>
      <c r="I144" s="326">
        <v>111.339</v>
      </c>
      <c r="J144" s="327">
        <f t="shared" si="94"/>
        <v>6.6610000000000014</v>
      </c>
      <c r="K144" s="343">
        <f t="shared" si="95"/>
        <v>6.75</v>
      </c>
      <c r="L144" s="394">
        <v>21</v>
      </c>
      <c r="M144" s="394">
        <v>600</v>
      </c>
      <c r="N144" s="494">
        <f t="shared" si="96"/>
        <v>488</v>
      </c>
      <c r="O144" s="345">
        <v>106</v>
      </c>
      <c r="P144" s="346">
        <f t="shared" si="97"/>
        <v>382</v>
      </c>
      <c r="Q144" s="489" t="str">
        <f t="shared" si="98"/>
        <v/>
      </c>
      <c r="R144" s="490" t="str">
        <f t="shared" si="99"/>
        <v/>
      </c>
      <c r="S144" s="490" t="str">
        <f t="shared" si="100"/>
        <v/>
      </c>
      <c r="T144" s="490" t="str">
        <f t="shared" si="101"/>
        <v/>
      </c>
      <c r="U144" s="490" t="str">
        <f t="shared" si="102"/>
        <v/>
      </c>
      <c r="V144" s="490" t="str">
        <f t="shared" si="103"/>
        <v/>
      </c>
      <c r="W144" s="490">
        <f t="shared" si="104"/>
        <v>8022</v>
      </c>
      <c r="X144" s="490" t="str">
        <f t="shared" si="105"/>
        <v/>
      </c>
      <c r="Y144" s="490" t="str">
        <f t="shared" si="106"/>
        <v/>
      </c>
      <c r="Z144" s="490" t="str">
        <f t="shared" si="107"/>
        <v/>
      </c>
      <c r="AA144" s="490" t="str">
        <f t="shared" si="108"/>
        <v/>
      </c>
      <c r="AB144" s="490" t="str">
        <f t="shared" si="109"/>
        <v/>
      </c>
      <c r="AC144" s="335" t="str">
        <f t="shared" si="110"/>
        <v/>
      </c>
      <c r="AD144" s="396"/>
      <c r="AE144" s="495">
        <f t="shared" si="111"/>
        <v>138.91499999999999</v>
      </c>
      <c r="AF144" s="495">
        <f t="shared" si="112"/>
        <v>13.23</v>
      </c>
      <c r="AG144" s="496">
        <v>394</v>
      </c>
      <c r="AH144" s="304">
        <v>416</v>
      </c>
      <c r="AI144" s="304">
        <v>0</v>
      </c>
      <c r="AJ144" s="304">
        <v>0</v>
      </c>
      <c r="AK144" s="304">
        <v>0</v>
      </c>
      <c r="AL144" s="304">
        <v>0</v>
      </c>
      <c r="AM144" s="304">
        <v>488</v>
      </c>
      <c r="AN144" s="304">
        <v>506</v>
      </c>
      <c r="AO144" s="304">
        <v>550</v>
      </c>
      <c r="AP144" s="304">
        <v>630</v>
      </c>
      <c r="AQ144" s="304">
        <v>680</v>
      </c>
      <c r="AR144" s="304">
        <v>789</v>
      </c>
      <c r="AS144" s="497">
        <v>849</v>
      </c>
      <c r="AT144" s="496">
        <f t="shared" si="113"/>
        <v>0</v>
      </c>
      <c r="AU144" s="304">
        <f t="shared" si="114"/>
        <v>0</v>
      </c>
      <c r="AV144" s="304">
        <f t="shared" si="115"/>
        <v>0</v>
      </c>
      <c r="AW144" s="304">
        <f t="shared" si="116"/>
        <v>0</v>
      </c>
      <c r="AX144" s="304">
        <f t="shared" si="117"/>
        <v>0</v>
      </c>
      <c r="AY144" s="304">
        <f t="shared" si="118"/>
        <v>0</v>
      </c>
      <c r="AZ144" s="304">
        <f t="shared" si="119"/>
        <v>488</v>
      </c>
      <c r="BA144" s="304">
        <f t="shared" si="120"/>
        <v>0</v>
      </c>
      <c r="BB144" s="304">
        <f t="shared" si="121"/>
        <v>0</v>
      </c>
      <c r="BC144" s="304">
        <f t="shared" si="122"/>
        <v>0</v>
      </c>
      <c r="BD144" s="304">
        <f t="shared" si="123"/>
        <v>0</v>
      </c>
      <c r="BE144" s="304">
        <f t="shared" si="124"/>
        <v>0</v>
      </c>
      <c r="BF144" s="497">
        <f t="shared" si="125"/>
        <v>0</v>
      </c>
      <c r="BG144" s="496" t="str">
        <f t="shared" si="126"/>
        <v/>
      </c>
      <c r="BH144" s="304" t="str">
        <f t="shared" si="127"/>
        <v/>
      </c>
      <c r="BI144" s="304" t="str">
        <f t="shared" si="128"/>
        <v/>
      </c>
      <c r="BJ144" s="304" t="str">
        <f t="shared" si="129"/>
        <v/>
      </c>
      <c r="BK144" s="304" t="str">
        <f t="shared" si="130"/>
        <v/>
      </c>
      <c r="BL144" s="304" t="str">
        <f t="shared" si="131"/>
        <v/>
      </c>
      <c r="BM144" s="304">
        <f t="shared" si="132"/>
        <v>21</v>
      </c>
      <c r="BN144" s="304" t="str">
        <f t="shared" si="133"/>
        <v/>
      </c>
      <c r="BO144" s="304" t="str">
        <f t="shared" si="134"/>
        <v/>
      </c>
      <c r="BP144" s="304" t="str">
        <f t="shared" si="135"/>
        <v/>
      </c>
      <c r="BQ144" s="304" t="str">
        <f t="shared" si="136"/>
        <v/>
      </c>
      <c r="BR144" s="304" t="str">
        <f t="shared" si="137"/>
        <v/>
      </c>
      <c r="BS144" s="497" t="str">
        <f t="shared" si="138"/>
        <v/>
      </c>
      <c r="BT144" s="302"/>
      <c r="BU144" s="302"/>
    </row>
    <row r="145" spans="1:73">
      <c r="A145" s="302"/>
      <c r="B145" s="302"/>
      <c r="C145" s="325" t="s">
        <v>387</v>
      </c>
      <c r="D145" s="326">
        <v>118</v>
      </c>
      <c r="E145" s="326">
        <v>111.339</v>
      </c>
      <c r="F145" s="327">
        <f t="shared" si="93"/>
        <v>6.6610000000000014</v>
      </c>
      <c r="G145" s="325" t="s">
        <v>388</v>
      </c>
      <c r="H145" s="326">
        <v>114.75</v>
      </c>
      <c r="I145" s="326">
        <v>111.16500000000001</v>
      </c>
      <c r="J145" s="327">
        <f t="shared" si="94"/>
        <v>3.5849999999999937</v>
      </c>
      <c r="K145" s="343">
        <f t="shared" si="95"/>
        <v>5.25</v>
      </c>
      <c r="L145" s="394">
        <v>24</v>
      </c>
      <c r="M145" s="394">
        <v>600</v>
      </c>
      <c r="N145" s="494">
        <f t="shared" si="96"/>
        <v>386</v>
      </c>
      <c r="O145" s="345">
        <v>106</v>
      </c>
      <c r="P145" s="346">
        <f t="shared" si="97"/>
        <v>280</v>
      </c>
      <c r="Q145" s="489" t="str">
        <f t="shared" si="98"/>
        <v/>
      </c>
      <c r="R145" s="490" t="str">
        <f t="shared" si="99"/>
        <v/>
      </c>
      <c r="S145" s="490" t="str">
        <f t="shared" si="100"/>
        <v/>
      </c>
      <c r="T145" s="490" t="str">
        <f t="shared" si="101"/>
        <v/>
      </c>
      <c r="U145" s="490" t="str">
        <f t="shared" si="102"/>
        <v/>
      </c>
      <c r="V145" s="490" t="str">
        <f t="shared" si="103"/>
        <v/>
      </c>
      <c r="W145" s="490">
        <f t="shared" si="104"/>
        <v>6720</v>
      </c>
      <c r="X145" s="490" t="str">
        <f t="shared" si="105"/>
        <v/>
      </c>
      <c r="Y145" s="490" t="str">
        <f t="shared" si="106"/>
        <v/>
      </c>
      <c r="Z145" s="490" t="str">
        <f t="shared" si="107"/>
        <v/>
      </c>
      <c r="AA145" s="490" t="str">
        <f t="shared" si="108"/>
        <v/>
      </c>
      <c r="AB145" s="490" t="str">
        <f t="shared" si="109"/>
        <v/>
      </c>
      <c r="AC145" s="335" t="str">
        <f t="shared" si="110"/>
        <v/>
      </c>
      <c r="AD145" s="396"/>
      <c r="AE145" s="495">
        <f t="shared" si="111"/>
        <v>120.96000000000001</v>
      </c>
      <c r="AF145" s="495">
        <f t="shared" si="112"/>
        <v>15.120000000000001</v>
      </c>
      <c r="AG145" s="496">
        <v>257</v>
      </c>
      <c r="AH145" s="304">
        <v>326</v>
      </c>
      <c r="AI145" s="304">
        <v>351</v>
      </c>
      <c r="AJ145" s="304">
        <v>383</v>
      </c>
      <c r="AK145" s="304">
        <v>388</v>
      </c>
      <c r="AL145" s="304">
        <v>377</v>
      </c>
      <c r="AM145" s="304">
        <v>386</v>
      </c>
      <c r="AN145" s="304">
        <v>404</v>
      </c>
      <c r="AO145" s="304">
        <v>448</v>
      </c>
      <c r="AP145" s="304">
        <v>528</v>
      </c>
      <c r="AQ145" s="304">
        <v>578</v>
      </c>
      <c r="AR145" s="304">
        <v>677</v>
      </c>
      <c r="AS145" s="497">
        <v>737</v>
      </c>
      <c r="AT145" s="496">
        <f t="shared" si="113"/>
        <v>0</v>
      </c>
      <c r="AU145" s="304">
        <f t="shared" si="114"/>
        <v>0</v>
      </c>
      <c r="AV145" s="304">
        <f t="shared" si="115"/>
        <v>0</v>
      </c>
      <c r="AW145" s="304">
        <f t="shared" si="116"/>
        <v>0</v>
      </c>
      <c r="AX145" s="304">
        <f t="shared" si="117"/>
        <v>0</v>
      </c>
      <c r="AY145" s="304">
        <f t="shared" si="118"/>
        <v>0</v>
      </c>
      <c r="AZ145" s="304">
        <f t="shared" si="119"/>
        <v>386</v>
      </c>
      <c r="BA145" s="304">
        <f t="shared" si="120"/>
        <v>0</v>
      </c>
      <c r="BB145" s="304">
        <f t="shared" si="121"/>
        <v>0</v>
      </c>
      <c r="BC145" s="304">
        <f t="shared" si="122"/>
        <v>0</v>
      </c>
      <c r="BD145" s="304">
        <f t="shared" si="123"/>
        <v>0</v>
      </c>
      <c r="BE145" s="304">
        <f t="shared" si="124"/>
        <v>0</v>
      </c>
      <c r="BF145" s="497">
        <f t="shared" si="125"/>
        <v>0</v>
      </c>
      <c r="BG145" s="496" t="str">
        <f t="shared" si="126"/>
        <v/>
      </c>
      <c r="BH145" s="304" t="str">
        <f t="shared" si="127"/>
        <v/>
      </c>
      <c r="BI145" s="304" t="str">
        <f t="shared" si="128"/>
        <v/>
      </c>
      <c r="BJ145" s="304" t="str">
        <f t="shared" si="129"/>
        <v/>
      </c>
      <c r="BK145" s="304" t="str">
        <f t="shared" si="130"/>
        <v/>
      </c>
      <c r="BL145" s="304" t="str">
        <f t="shared" si="131"/>
        <v/>
      </c>
      <c r="BM145" s="304">
        <f t="shared" si="132"/>
        <v>24</v>
      </c>
      <c r="BN145" s="304" t="str">
        <f t="shared" si="133"/>
        <v/>
      </c>
      <c r="BO145" s="304" t="str">
        <f t="shared" si="134"/>
        <v/>
      </c>
      <c r="BP145" s="304" t="str">
        <f t="shared" si="135"/>
        <v/>
      </c>
      <c r="BQ145" s="304" t="str">
        <f t="shared" si="136"/>
        <v/>
      </c>
      <c r="BR145" s="304" t="str">
        <f t="shared" si="137"/>
        <v/>
      </c>
      <c r="BS145" s="497" t="str">
        <f t="shared" si="138"/>
        <v/>
      </c>
      <c r="BT145" s="302"/>
      <c r="BU145" s="302"/>
    </row>
    <row r="146" spans="1:73">
      <c r="A146" s="302"/>
      <c r="B146" s="302"/>
      <c r="C146" s="325"/>
      <c r="D146" s="326"/>
      <c r="E146" s="326"/>
      <c r="F146" s="327">
        <f t="shared" si="93"/>
        <v>0</v>
      </c>
      <c r="G146" s="325"/>
      <c r="H146" s="326"/>
      <c r="I146" s="326"/>
      <c r="J146" s="327">
        <f t="shared" si="94"/>
        <v>0</v>
      </c>
      <c r="K146" s="343">
        <f t="shared" si="95"/>
        <v>0</v>
      </c>
      <c r="L146" s="394"/>
      <c r="M146" s="394"/>
      <c r="N146" s="494">
        <f t="shared" si="96"/>
        <v>0</v>
      </c>
      <c r="O146" s="345">
        <v>0</v>
      </c>
      <c r="P146" s="346">
        <f t="shared" si="97"/>
        <v>0</v>
      </c>
      <c r="Q146" s="489" t="str">
        <f t="shared" si="98"/>
        <v/>
      </c>
      <c r="R146" s="490" t="str">
        <f t="shared" si="99"/>
        <v/>
      </c>
      <c r="S146" s="490" t="str">
        <f t="shared" si="100"/>
        <v/>
      </c>
      <c r="T146" s="490" t="str">
        <f t="shared" si="101"/>
        <v/>
      </c>
      <c r="U146" s="490" t="str">
        <f t="shared" si="102"/>
        <v/>
      </c>
      <c r="V146" s="490" t="str">
        <f t="shared" si="103"/>
        <v/>
      </c>
      <c r="W146" s="490" t="str">
        <f t="shared" si="104"/>
        <v/>
      </c>
      <c r="X146" s="490" t="str">
        <f t="shared" si="105"/>
        <v/>
      </c>
      <c r="Y146" s="490" t="str">
        <f t="shared" si="106"/>
        <v/>
      </c>
      <c r="Z146" s="490" t="str">
        <f t="shared" si="107"/>
        <v/>
      </c>
      <c r="AA146" s="490" t="str">
        <f t="shared" si="108"/>
        <v/>
      </c>
      <c r="AB146" s="490" t="str">
        <f t="shared" si="109"/>
        <v/>
      </c>
      <c r="AC146" s="335" t="str">
        <f t="shared" si="110"/>
        <v/>
      </c>
      <c r="AD146" s="396"/>
      <c r="AE146" s="495">
        <f t="shared" si="111"/>
        <v>0</v>
      </c>
      <c r="AF146" s="495">
        <f t="shared" si="112"/>
        <v>0</v>
      </c>
      <c r="AG146" s="496">
        <v>0</v>
      </c>
      <c r="AH146" s="304">
        <v>0</v>
      </c>
      <c r="AI146" s="304">
        <v>0</v>
      </c>
      <c r="AJ146" s="304">
        <v>0</v>
      </c>
      <c r="AK146" s="304">
        <v>0</v>
      </c>
      <c r="AL146" s="304">
        <v>0</v>
      </c>
      <c r="AM146" s="304">
        <v>0</v>
      </c>
      <c r="AN146" s="304">
        <v>0</v>
      </c>
      <c r="AO146" s="304">
        <v>0</v>
      </c>
      <c r="AP146" s="304">
        <v>0</v>
      </c>
      <c r="AQ146" s="304">
        <v>0</v>
      </c>
      <c r="AR146" s="304">
        <v>0</v>
      </c>
      <c r="AS146" s="497">
        <v>0</v>
      </c>
      <c r="AT146" s="496">
        <f t="shared" si="113"/>
        <v>0</v>
      </c>
      <c r="AU146" s="304">
        <f t="shared" si="114"/>
        <v>0</v>
      </c>
      <c r="AV146" s="304">
        <f t="shared" si="115"/>
        <v>0</v>
      </c>
      <c r="AW146" s="304">
        <f t="shared" si="116"/>
        <v>0</v>
      </c>
      <c r="AX146" s="304">
        <f t="shared" si="117"/>
        <v>0</v>
      </c>
      <c r="AY146" s="304">
        <f t="shared" si="118"/>
        <v>0</v>
      </c>
      <c r="AZ146" s="304">
        <f t="shared" si="119"/>
        <v>0</v>
      </c>
      <c r="BA146" s="304">
        <f t="shared" si="120"/>
        <v>0</v>
      </c>
      <c r="BB146" s="304">
        <f t="shared" si="121"/>
        <v>0</v>
      </c>
      <c r="BC146" s="304">
        <f t="shared" si="122"/>
        <v>0</v>
      </c>
      <c r="BD146" s="304">
        <f t="shared" si="123"/>
        <v>0</v>
      </c>
      <c r="BE146" s="304">
        <f t="shared" si="124"/>
        <v>0</v>
      </c>
      <c r="BF146" s="497">
        <f t="shared" si="125"/>
        <v>0</v>
      </c>
      <c r="BG146" s="496" t="str">
        <f t="shared" si="126"/>
        <v/>
      </c>
      <c r="BH146" s="304" t="str">
        <f t="shared" si="127"/>
        <v/>
      </c>
      <c r="BI146" s="304" t="str">
        <f t="shared" si="128"/>
        <v/>
      </c>
      <c r="BJ146" s="304" t="str">
        <f t="shared" si="129"/>
        <v/>
      </c>
      <c r="BK146" s="304" t="str">
        <f t="shared" si="130"/>
        <v/>
      </c>
      <c r="BL146" s="304" t="str">
        <f t="shared" si="131"/>
        <v/>
      </c>
      <c r="BM146" s="304" t="str">
        <f t="shared" si="132"/>
        <v/>
      </c>
      <c r="BN146" s="304" t="str">
        <f t="shared" si="133"/>
        <v/>
      </c>
      <c r="BO146" s="304" t="str">
        <f t="shared" si="134"/>
        <v/>
      </c>
      <c r="BP146" s="304" t="str">
        <f t="shared" si="135"/>
        <v/>
      </c>
      <c r="BQ146" s="304" t="str">
        <f t="shared" si="136"/>
        <v/>
      </c>
      <c r="BR146" s="304" t="str">
        <f t="shared" si="137"/>
        <v/>
      </c>
      <c r="BS146" s="497" t="str">
        <f t="shared" si="138"/>
        <v/>
      </c>
      <c r="BT146" s="302"/>
      <c r="BU146" s="302"/>
    </row>
    <row r="147" spans="1:73">
      <c r="A147" s="302"/>
      <c r="B147" s="302"/>
      <c r="C147" s="325" t="s">
        <v>389</v>
      </c>
      <c r="D147" s="326">
        <v>116.15600000000001</v>
      </c>
      <c r="E147" s="326">
        <v>114.456</v>
      </c>
      <c r="F147" s="327">
        <f t="shared" si="93"/>
        <v>1.7000000000000028</v>
      </c>
      <c r="G147" s="325" t="s">
        <v>390</v>
      </c>
      <c r="H147" s="326">
        <v>115.557</v>
      </c>
      <c r="I147" s="326">
        <v>113.392</v>
      </c>
      <c r="J147" s="327">
        <f t="shared" si="94"/>
        <v>2.1650000000000063</v>
      </c>
      <c r="K147" s="343">
        <f t="shared" si="95"/>
        <v>2</v>
      </c>
      <c r="L147" s="394">
        <v>18</v>
      </c>
      <c r="M147" s="394">
        <v>600</v>
      </c>
      <c r="N147" s="494">
        <f t="shared" si="96"/>
        <v>175</v>
      </c>
      <c r="O147" s="345">
        <v>106</v>
      </c>
      <c r="P147" s="346">
        <f t="shared" si="97"/>
        <v>69</v>
      </c>
      <c r="Q147" s="489" t="str">
        <f t="shared" si="98"/>
        <v/>
      </c>
      <c r="R147" s="490" t="str">
        <f t="shared" si="99"/>
        <v/>
      </c>
      <c r="S147" s="490" t="str">
        <f t="shared" si="100"/>
        <v/>
      </c>
      <c r="T147" s="490" t="str">
        <f t="shared" si="101"/>
        <v/>
      </c>
      <c r="U147" s="490" t="str">
        <f t="shared" si="102"/>
        <v/>
      </c>
      <c r="V147" s="490" t="str">
        <f t="shared" si="103"/>
        <v/>
      </c>
      <c r="W147" s="490">
        <f t="shared" si="104"/>
        <v>1242</v>
      </c>
      <c r="X147" s="490" t="str">
        <f t="shared" si="105"/>
        <v/>
      </c>
      <c r="Y147" s="490" t="str">
        <f t="shared" si="106"/>
        <v/>
      </c>
      <c r="Z147" s="490" t="str">
        <f t="shared" si="107"/>
        <v/>
      </c>
      <c r="AA147" s="490" t="str">
        <f t="shared" si="108"/>
        <v/>
      </c>
      <c r="AB147" s="490" t="str">
        <f t="shared" si="109"/>
        <v/>
      </c>
      <c r="AC147" s="335" t="str">
        <f t="shared" si="110"/>
        <v/>
      </c>
      <c r="AD147" s="396"/>
      <c r="AE147" s="495">
        <f t="shared" si="111"/>
        <v>29.295000000000002</v>
      </c>
      <c r="AF147" s="495">
        <f t="shared" si="112"/>
        <v>11.34</v>
      </c>
      <c r="AG147" s="496">
        <v>88</v>
      </c>
      <c r="AH147" s="304">
        <v>109</v>
      </c>
      <c r="AI147" s="304">
        <v>126</v>
      </c>
      <c r="AJ147" s="304">
        <v>149</v>
      </c>
      <c r="AK147" s="304">
        <v>163</v>
      </c>
      <c r="AL147" s="304">
        <v>165</v>
      </c>
      <c r="AM147" s="304">
        <v>175</v>
      </c>
      <c r="AN147" s="304">
        <v>193</v>
      </c>
      <c r="AO147" s="304">
        <v>230</v>
      </c>
      <c r="AP147" s="304">
        <v>305</v>
      </c>
      <c r="AQ147" s="304">
        <v>355</v>
      </c>
      <c r="AR147" s="304">
        <v>415</v>
      </c>
      <c r="AS147" s="497">
        <v>475</v>
      </c>
      <c r="AT147" s="496">
        <f t="shared" si="113"/>
        <v>0</v>
      </c>
      <c r="AU147" s="304">
        <f t="shared" si="114"/>
        <v>0</v>
      </c>
      <c r="AV147" s="304">
        <f t="shared" si="115"/>
        <v>0</v>
      </c>
      <c r="AW147" s="304">
        <f t="shared" si="116"/>
        <v>0</v>
      </c>
      <c r="AX147" s="304">
        <f t="shared" si="117"/>
        <v>0</v>
      </c>
      <c r="AY147" s="304">
        <f t="shared" si="118"/>
        <v>0</v>
      </c>
      <c r="AZ147" s="304">
        <f t="shared" si="119"/>
        <v>175</v>
      </c>
      <c r="BA147" s="304">
        <f t="shared" si="120"/>
        <v>0</v>
      </c>
      <c r="BB147" s="304">
        <f t="shared" si="121"/>
        <v>0</v>
      </c>
      <c r="BC147" s="304">
        <f t="shared" si="122"/>
        <v>0</v>
      </c>
      <c r="BD147" s="304">
        <f t="shared" si="123"/>
        <v>0</v>
      </c>
      <c r="BE147" s="304">
        <f t="shared" si="124"/>
        <v>0</v>
      </c>
      <c r="BF147" s="497">
        <f t="shared" si="125"/>
        <v>0</v>
      </c>
      <c r="BG147" s="496" t="str">
        <f t="shared" si="126"/>
        <v/>
      </c>
      <c r="BH147" s="304" t="str">
        <f t="shared" si="127"/>
        <v/>
      </c>
      <c r="BI147" s="304" t="str">
        <f t="shared" si="128"/>
        <v/>
      </c>
      <c r="BJ147" s="304" t="str">
        <f t="shared" si="129"/>
        <v/>
      </c>
      <c r="BK147" s="304" t="str">
        <f t="shared" si="130"/>
        <v/>
      </c>
      <c r="BL147" s="304" t="str">
        <f t="shared" si="131"/>
        <v/>
      </c>
      <c r="BM147" s="304">
        <f t="shared" si="132"/>
        <v>18</v>
      </c>
      <c r="BN147" s="304" t="str">
        <f t="shared" si="133"/>
        <v/>
      </c>
      <c r="BO147" s="304" t="str">
        <f t="shared" si="134"/>
        <v/>
      </c>
      <c r="BP147" s="304" t="str">
        <f t="shared" si="135"/>
        <v/>
      </c>
      <c r="BQ147" s="304" t="str">
        <f t="shared" si="136"/>
        <v/>
      </c>
      <c r="BR147" s="304" t="str">
        <f t="shared" si="137"/>
        <v/>
      </c>
      <c r="BS147" s="497" t="str">
        <f t="shared" si="138"/>
        <v/>
      </c>
      <c r="BT147" s="302"/>
      <c r="BU147" s="302"/>
    </row>
    <row r="148" spans="1:73">
      <c r="A148" s="302"/>
      <c r="B148" s="302"/>
      <c r="C148" s="325" t="s">
        <v>390</v>
      </c>
      <c r="D148" s="326">
        <v>115.557</v>
      </c>
      <c r="E148" s="326">
        <v>113.392</v>
      </c>
      <c r="F148" s="327">
        <f t="shared" si="93"/>
        <v>2.1650000000000063</v>
      </c>
      <c r="G148" s="325" t="s">
        <v>391</v>
      </c>
      <c r="H148" s="326">
        <v>114.485</v>
      </c>
      <c r="I148" s="326">
        <v>112.164</v>
      </c>
      <c r="J148" s="327">
        <f t="shared" si="94"/>
        <v>2.320999999999998</v>
      </c>
      <c r="K148" s="343">
        <f t="shared" si="95"/>
        <v>2.25</v>
      </c>
      <c r="L148" s="394">
        <v>21</v>
      </c>
      <c r="M148" s="394">
        <v>600</v>
      </c>
      <c r="N148" s="494">
        <f t="shared" si="96"/>
        <v>185</v>
      </c>
      <c r="O148" s="345">
        <v>106</v>
      </c>
      <c r="P148" s="346">
        <f t="shared" si="97"/>
        <v>79</v>
      </c>
      <c r="Q148" s="489" t="str">
        <f t="shared" si="98"/>
        <v/>
      </c>
      <c r="R148" s="490" t="str">
        <f t="shared" si="99"/>
        <v/>
      </c>
      <c r="S148" s="490" t="str">
        <f t="shared" si="100"/>
        <v/>
      </c>
      <c r="T148" s="490" t="str">
        <f t="shared" si="101"/>
        <v/>
      </c>
      <c r="U148" s="490" t="str">
        <f t="shared" si="102"/>
        <v/>
      </c>
      <c r="V148" s="490" t="str">
        <f t="shared" si="103"/>
        <v/>
      </c>
      <c r="W148" s="490">
        <f t="shared" si="104"/>
        <v>1659</v>
      </c>
      <c r="X148" s="490" t="str">
        <f t="shared" si="105"/>
        <v/>
      </c>
      <c r="Y148" s="490" t="str">
        <f t="shared" si="106"/>
        <v/>
      </c>
      <c r="Z148" s="490" t="str">
        <f t="shared" si="107"/>
        <v/>
      </c>
      <c r="AA148" s="490" t="str">
        <f t="shared" si="108"/>
        <v/>
      </c>
      <c r="AB148" s="490" t="str">
        <f t="shared" si="109"/>
        <v/>
      </c>
      <c r="AC148" s="335" t="str">
        <f t="shared" si="110"/>
        <v/>
      </c>
      <c r="AD148" s="396"/>
      <c r="AE148" s="495">
        <f t="shared" si="111"/>
        <v>39.690000000000005</v>
      </c>
      <c r="AF148" s="495">
        <f t="shared" si="112"/>
        <v>13.23</v>
      </c>
      <c r="AG148" s="496">
        <v>97</v>
      </c>
      <c r="AH148" s="304">
        <v>120</v>
      </c>
      <c r="AI148" s="304">
        <v>136</v>
      </c>
      <c r="AJ148" s="304">
        <v>160</v>
      </c>
      <c r="AK148" s="304">
        <v>174</v>
      </c>
      <c r="AL148" s="304">
        <v>179</v>
      </c>
      <c r="AM148" s="304">
        <v>185</v>
      </c>
      <c r="AN148" s="304">
        <v>203</v>
      </c>
      <c r="AO148" s="304">
        <v>247</v>
      </c>
      <c r="AP148" s="304">
        <v>327</v>
      </c>
      <c r="AQ148" s="304">
        <v>377</v>
      </c>
      <c r="AR148" s="304">
        <v>437</v>
      </c>
      <c r="AS148" s="497">
        <v>497</v>
      </c>
      <c r="AT148" s="496">
        <f t="shared" si="113"/>
        <v>0</v>
      </c>
      <c r="AU148" s="304">
        <f t="shared" si="114"/>
        <v>0</v>
      </c>
      <c r="AV148" s="304">
        <f t="shared" si="115"/>
        <v>0</v>
      </c>
      <c r="AW148" s="304">
        <f t="shared" si="116"/>
        <v>0</v>
      </c>
      <c r="AX148" s="304">
        <f t="shared" si="117"/>
        <v>0</v>
      </c>
      <c r="AY148" s="304">
        <f t="shared" si="118"/>
        <v>0</v>
      </c>
      <c r="AZ148" s="304">
        <f t="shared" si="119"/>
        <v>185</v>
      </c>
      <c r="BA148" s="304">
        <f t="shared" si="120"/>
        <v>0</v>
      </c>
      <c r="BB148" s="304">
        <f t="shared" si="121"/>
        <v>0</v>
      </c>
      <c r="BC148" s="304">
        <f t="shared" si="122"/>
        <v>0</v>
      </c>
      <c r="BD148" s="304">
        <f t="shared" si="123"/>
        <v>0</v>
      </c>
      <c r="BE148" s="304">
        <f t="shared" si="124"/>
        <v>0</v>
      </c>
      <c r="BF148" s="497">
        <f t="shared" si="125"/>
        <v>0</v>
      </c>
      <c r="BG148" s="496" t="str">
        <f t="shared" si="126"/>
        <v/>
      </c>
      <c r="BH148" s="304" t="str">
        <f t="shared" si="127"/>
        <v/>
      </c>
      <c r="BI148" s="304" t="str">
        <f t="shared" si="128"/>
        <v/>
      </c>
      <c r="BJ148" s="304" t="str">
        <f t="shared" si="129"/>
        <v/>
      </c>
      <c r="BK148" s="304" t="str">
        <f t="shared" si="130"/>
        <v/>
      </c>
      <c r="BL148" s="304" t="str">
        <f t="shared" si="131"/>
        <v/>
      </c>
      <c r="BM148" s="304">
        <f t="shared" si="132"/>
        <v>21</v>
      </c>
      <c r="BN148" s="304" t="str">
        <f t="shared" si="133"/>
        <v/>
      </c>
      <c r="BO148" s="304" t="str">
        <f t="shared" si="134"/>
        <v/>
      </c>
      <c r="BP148" s="304" t="str">
        <f t="shared" si="135"/>
        <v/>
      </c>
      <c r="BQ148" s="304" t="str">
        <f t="shared" si="136"/>
        <v/>
      </c>
      <c r="BR148" s="304" t="str">
        <f t="shared" si="137"/>
        <v/>
      </c>
      <c r="BS148" s="497" t="str">
        <f t="shared" si="138"/>
        <v/>
      </c>
      <c r="BT148" s="302"/>
      <c r="BU148" s="302"/>
    </row>
    <row r="149" spans="1:73">
      <c r="A149" s="302"/>
      <c r="B149" s="302"/>
      <c r="C149" s="325" t="s">
        <v>391</v>
      </c>
      <c r="D149" s="326">
        <v>114.485</v>
      </c>
      <c r="E149" s="326">
        <v>112.164</v>
      </c>
      <c r="F149" s="327">
        <f t="shared" si="93"/>
        <v>2.320999999999998</v>
      </c>
      <c r="G149" s="325" t="s">
        <v>392</v>
      </c>
      <c r="H149" s="326">
        <v>113.4</v>
      </c>
      <c r="I149" s="326">
        <v>109</v>
      </c>
      <c r="J149" s="327">
        <f t="shared" si="94"/>
        <v>4.4000000000000057</v>
      </c>
      <c r="K149" s="343">
        <f t="shared" si="95"/>
        <v>3.5</v>
      </c>
      <c r="L149" s="394">
        <v>15</v>
      </c>
      <c r="M149" s="394">
        <v>600</v>
      </c>
      <c r="N149" s="494">
        <f t="shared" si="96"/>
        <v>267</v>
      </c>
      <c r="O149" s="345">
        <v>106</v>
      </c>
      <c r="P149" s="346">
        <f t="shared" si="97"/>
        <v>161</v>
      </c>
      <c r="Q149" s="489" t="str">
        <f t="shared" si="98"/>
        <v/>
      </c>
      <c r="R149" s="490" t="str">
        <f t="shared" si="99"/>
        <v/>
      </c>
      <c r="S149" s="490" t="str">
        <f t="shared" si="100"/>
        <v/>
      </c>
      <c r="T149" s="490" t="str">
        <f t="shared" si="101"/>
        <v/>
      </c>
      <c r="U149" s="490" t="str">
        <f t="shared" si="102"/>
        <v/>
      </c>
      <c r="V149" s="490" t="str">
        <f t="shared" si="103"/>
        <v/>
      </c>
      <c r="W149" s="490">
        <f t="shared" si="104"/>
        <v>2415</v>
      </c>
      <c r="X149" s="490" t="str">
        <f t="shared" si="105"/>
        <v/>
      </c>
      <c r="Y149" s="490" t="str">
        <f t="shared" si="106"/>
        <v/>
      </c>
      <c r="Z149" s="490" t="str">
        <f t="shared" si="107"/>
        <v/>
      </c>
      <c r="AA149" s="490" t="str">
        <f t="shared" si="108"/>
        <v/>
      </c>
      <c r="AB149" s="490" t="str">
        <f t="shared" si="109"/>
        <v/>
      </c>
      <c r="AC149" s="335" t="str">
        <f t="shared" si="110"/>
        <v/>
      </c>
      <c r="AD149" s="396"/>
      <c r="AE149" s="495">
        <f t="shared" si="111"/>
        <v>48.037500000000001</v>
      </c>
      <c r="AF149" s="495">
        <f t="shared" si="112"/>
        <v>9.4499999999999993</v>
      </c>
      <c r="AG149" s="496">
        <v>165</v>
      </c>
      <c r="AH149" s="304">
        <v>195</v>
      </c>
      <c r="AI149" s="304">
        <v>219</v>
      </c>
      <c r="AJ149" s="304">
        <v>225</v>
      </c>
      <c r="AK149" s="304">
        <v>247</v>
      </c>
      <c r="AL149" s="304">
        <v>242</v>
      </c>
      <c r="AM149" s="304">
        <v>267</v>
      </c>
      <c r="AN149" s="304">
        <v>285</v>
      </c>
      <c r="AO149" s="304">
        <v>317</v>
      </c>
      <c r="AP149" s="304">
        <v>397</v>
      </c>
      <c r="AQ149" s="304">
        <v>447</v>
      </c>
      <c r="AR149" s="304">
        <v>560</v>
      </c>
      <c r="AS149" s="497">
        <v>620</v>
      </c>
      <c r="AT149" s="496">
        <f t="shared" si="113"/>
        <v>0</v>
      </c>
      <c r="AU149" s="304">
        <f t="shared" si="114"/>
        <v>0</v>
      </c>
      <c r="AV149" s="304">
        <f t="shared" si="115"/>
        <v>0</v>
      </c>
      <c r="AW149" s="304">
        <f t="shared" si="116"/>
        <v>0</v>
      </c>
      <c r="AX149" s="304">
        <f t="shared" si="117"/>
        <v>0</v>
      </c>
      <c r="AY149" s="304">
        <f t="shared" si="118"/>
        <v>0</v>
      </c>
      <c r="AZ149" s="304">
        <f t="shared" si="119"/>
        <v>267</v>
      </c>
      <c r="BA149" s="304">
        <f t="shared" si="120"/>
        <v>0</v>
      </c>
      <c r="BB149" s="304">
        <f t="shared" si="121"/>
        <v>0</v>
      </c>
      <c r="BC149" s="304">
        <f t="shared" si="122"/>
        <v>0</v>
      </c>
      <c r="BD149" s="304">
        <f t="shared" si="123"/>
        <v>0</v>
      </c>
      <c r="BE149" s="304">
        <f t="shared" si="124"/>
        <v>0</v>
      </c>
      <c r="BF149" s="497">
        <f t="shared" si="125"/>
        <v>0</v>
      </c>
      <c r="BG149" s="496" t="str">
        <f t="shared" si="126"/>
        <v/>
      </c>
      <c r="BH149" s="304" t="str">
        <f t="shared" si="127"/>
        <v/>
      </c>
      <c r="BI149" s="304" t="str">
        <f t="shared" si="128"/>
        <v/>
      </c>
      <c r="BJ149" s="304" t="str">
        <f t="shared" si="129"/>
        <v/>
      </c>
      <c r="BK149" s="304" t="str">
        <f t="shared" si="130"/>
        <v/>
      </c>
      <c r="BL149" s="304" t="str">
        <f t="shared" si="131"/>
        <v/>
      </c>
      <c r="BM149" s="304">
        <f t="shared" si="132"/>
        <v>15</v>
      </c>
      <c r="BN149" s="304" t="str">
        <f t="shared" si="133"/>
        <v/>
      </c>
      <c r="BO149" s="304" t="str">
        <f t="shared" si="134"/>
        <v/>
      </c>
      <c r="BP149" s="304" t="str">
        <f t="shared" si="135"/>
        <v/>
      </c>
      <c r="BQ149" s="304" t="str">
        <f t="shared" si="136"/>
        <v/>
      </c>
      <c r="BR149" s="304" t="str">
        <f t="shared" si="137"/>
        <v/>
      </c>
      <c r="BS149" s="497" t="str">
        <f t="shared" si="138"/>
        <v/>
      </c>
      <c r="BT149" s="302"/>
      <c r="BU149" s="302"/>
    </row>
    <row r="150" spans="1:73">
      <c r="A150" s="302"/>
      <c r="B150" s="302"/>
      <c r="C150" s="325" t="s">
        <v>392</v>
      </c>
      <c r="D150" s="326">
        <v>113.4</v>
      </c>
      <c r="E150" s="326">
        <v>109</v>
      </c>
      <c r="F150" s="327">
        <f t="shared" si="93"/>
        <v>4.4000000000000057</v>
      </c>
      <c r="G150" s="325" t="s">
        <v>393</v>
      </c>
      <c r="H150" s="326">
        <v>112.7</v>
      </c>
      <c r="I150" s="326">
        <v>107.5</v>
      </c>
      <c r="J150" s="327">
        <f t="shared" si="94"/>
        <v>5.2000000000000028</v>
      </c>
      <c r="K150" s="343">
        <f t="shared" si="95"/>
        <v>5</v>
      </c>
      <c r="L150" s="394">
        <v>16</v>
      </c>
      <c r="M150" s="394">
        <v>600</v>
      </c>
      <c r="N150" s="494">
        <f t="shared" si="96"/>
        <v>369</v>
      </c>
      <c r="O150" s="345">
        <v>106</v>
      </c>
      <c r="P150" s="346">
        <f t="shared" si="97"/>
        <v>263</v>
      </c>
      <c r="Q150" s="489" t="str">
        <f t="shared" si="98"/>
        <v/>
      </c>
      <c r="R150" s="490" t="str">
        <f t="shared" si="99"/>
        <v/>
      </c>
      <c r="S150" s="490" t="str">
        <f t="shared" si="100"/>
        <v/>
      </c>
      <c r="T150" s="490" t="str">
        <f t="shared" si="101"/>
        <v/>
      </c>
      <c r="U150" s="490" t="str">
        <f t="shared" si="102"/>
        <v/>
      </c>
      <c r="V150" s="490" t="str">
        <f t="shared" si="103"/>
        <v/>
      </c>
      <c r="W150" s="490">
        <f t="shared" si="104"/>
        <v>4208</v>
      </c>
      <c r="X150" s="490" t="str">
        <f t="shared" si="105"/>
        <v/>
      </c>
      <c r="Y150" s="490" t="str">
        <f t="shared" si="106"/>
        <v/>
      </c>
      <c r="Z150" s="490" t="str">
        <f t="shared" si="107"/>
        <v/>
      </c>
      <c r="AA150" s="490" t="str">
        <f t="shared" si="108"/>
        <v/>
      </c>
      <c r="AB150" s="490" t="str">
        <f t="shared" si="109"/>
        <v/>
      </c>
      <c r="AC150" s="335" t="str">
        <f t="shared" si="110"/>
        <v/>
      </c>
      <c r="AD150" s="396"/>
      <c r="AE150" s="495">
        <f t="shared" si="111"/>
        <v>76.44</v>
      </c>
      <c r="AF150" s="495">
        <f t="shared" si="112"/>
        <v>10.08</v>
      </c>
      <c r="AG150" s="496">
        <v>245</v>
      </c>
      <c r="AH150" s="304">
        <v>311</v>
      </c>
      <c r="AI150" s="304">
        <v>331</v>
      </c>
      <c r="AJ150" s="304">
        <v>356</v>
      </c>
      <c r="AK150" s="304">
        <v>361</v>
      </c>
      <c r="AL150" s="304">
        <v>357</v>
      </c>
      <c r="AM150" s="304">
        <v>369</v>
      </c>
      <c r="AN150" s="304">
        <v>387</v>
      </c>
      <c r="AO150" s="304">
        <v>431</v>
      </c>
      <c r="AP150" s="304">
        <v>511</v>
      </c>
      <c r="AQ150" s="304">
        <v>561</v>
      </c>
      <c r="AR150" s="304">
        <v>660</v>
      </c>
      <c r="AS150" s="497">
        <v>720</v>
      </c>
      <c r="AT150" s="496">
        <f t="shared" si="113"/>
        <v>0</v>
      </c>
      <c r="AU150" s="304">
        <f t="shared" si="114"/>
        <v>0</v>
      </c>
      <c r="AV150" s="304">
        <f t="shared" si="115"/>
        <v>0</v>
      </c>
      <c r="AW150" s="304">
        <f t="shared" si="116"/>
        <v>0</v>
      </c>
      <c r="AX150" s="304">
        <f t="shared" si="117"/>
        <v>0</v>
      </c>
      <c r="AY150" s="304">
        <f t="shared" si="118"/>
        <v>0</v>
      </c>
      <c r="AZ150" s="304">
        <f t="shared" si="119"/>
        <v>369</v>
      </c>
      <c r="BA150" s="304">
        <f t="shared" si="120"/>
        <v>0</v>
      </c>
      <c r="BB150" s="304">
        <f t="shared" si="121"/>
        <v>0</v>
      </c>
      <c r="BC150" s="304">
        <f t="shared" si="122"/>
        <v>0</v>
      </c>
      <c r="BD150" s="304">
        <f t="shared" si="123"/>
        <v>0</v>
      </c>
      <c r="BE150" s="304">
        <f t="shared" si="124"/>
        <v>0</v>
      </c>
      <c r="BF150" s="497">
        <f t="shared" si="125"/>
        <v>0</v>
      </c>
      <c r="BG150" s="496" t="str">
        <f t="shared" si="126"/>
        <v/>
      </c>
      <c r="BH150" s="304" t="str">
        <f t="shared" si="127"/>
        <v/>
      </c>
      <c r="BI150" s="304" t="str">
        <f t="shared" si="128"/>
        <v/>
      </c>
      <c r="BJ150" s="304" t="str">
        <f t="shared" si="129"/>
        <v/>
      </c>
      <c r="BK150" s="304" t="str">
        <f t="shared" si="130"/>
        <v/>
      </c>
      <c r="BL150" s="304" t="str">
        <f t="shared" si="131"/>
        <v/>
      </c>
      <c r="BM150" s="304">
        <f t="shared" si="132"/>
        <v>16</v>
      </c>
      <c r="BN150" s="304" t="str">
        <f t="shared" si="133"/>
        <v/>
      </c>
      <c r="BO150" s="304" t="str">
        <f t="shared" si="134"/>
        <v/>
      </c>
      <c r="BP150" s="304" t="str">
        <f t="shared" si="135"/>
        <v/>
      </c>
      <c r="BQ150" s="304" t="str">
        <f t="shared" si="136"/>
        <v/>
      </c>
      <c r="BR150" s="304" t="str">
        <f t="shared" si="137"/>
        <v/>
      </c>
      <c r="BS150" s="497" t="str">
        <f t="shared" si="138"/>
        <v/>
      </c>
      <c r="BT150" s="302"/>
      <c r="BU150" s="302"/>
    </row>
    <row r="151" spans="1:73">
      <c r="A151" s="302"/>
      <c r="B151" s="302"/>
      <c r="C151" s="325" t="s">
        <v>393</v>
      </c>
      <c r="D151" s="326">
        <v>112.7</v>
      </c>
      <c r="E151" s="326">
        <v>107.5</v>
      </c>
      <c r="F151" s="327">
        <f t="shared" si="93"/>
        <v>5.2000000000000028</v>
      </c>
      <c r="G151" s="325" t="s">
        <v>394</v>
      </c>
      <c r="H151" s="326">
        <v>111.6</v>
      </c>
      <c r="I151" s="326">
        <v>107.336</v>
      </c>
      <c r="J151" s="327">
        <f t="shared" si="94"/>
        <v>4.2639999999999958</v>
      </c>
      <c r="K151" s="343">
        <f t="shared" si="95"/>
        <v>4.75</v>
      </c>
      <c r="L151" s="394">
        <v>22</v>
      </c>
      <c r="M151" s="394">
        <v>600</v>
      </c>
      <c r="N151" s="494">
        <f t="shared" si="96"/>
        <v>352</v>
      </c>
      <c r="O151" s="345">
        <v>106</v>
      </c>
      <c r="P151" s="346">
        <f t="shared" si="97"/>
        <v>246</v>
      </c>
      <c r="Q151" s="489" t="str">
        <f t="shared" si="98"/>
        <v/>
      </c>
      <c r="R151" s="490" t="str">
        <f t="shared" si="99"/>
        <v/>
      </c>
      <c r="S151" s="490" t="str">
        <f t="shared" si="100"/>
        <v/>
      </c>
      <c r="T151" s="490" t="str">
        <f t="shared" si="101"/>
        <v/>
      </c>
      <c r="U151" s="490" t="str">
        <f t="shared" si="102"/>
        <v/>
      </c>
      <c r="V151" s="490" t="str">
        <f t="shared" si="103"/>
        <v/>
      </c>
      <c r="W151" s="490">
        <f t="shared" si="104"/>
        <v>5412</v>
      </c>
      <c r="X151" s="490" t="str">
        <f t="shared" si="105"/>
        <v/>
      </c>
      <c r="Y151" s="490" t="str">
        <f t="shared" si="106"/>
        <v/>
      </c>
      <c r="Z151" s="490" t="str">
        <f t="shared" si="107"/>
        <v/>
      </c>
      <c r="AA151" s="490" t="str">
        <f t="shared" si="108"/>
        <v/>
      </c>
      <c r="AB151" s="490" t="str">
        <f t="shared" si="109"/>
        <v/>
      </c>
      <c r="AC151" s="335" t="str">
        <f t="shared" si="110"/>
        <v/>
      </c>
      <c r="AD151" s="396"/>
      <c r="AE151" s="495">
        <f t="shared" si="111"/>
        <v>99.33</v>
      </c>
      <c r="AF151" s="495">
        <f t="shared" si="112"/>
        <v>13.86</v>
      </c>
      <c r="AG151" s="496">
        <v>240</v>
      </c>
      <c r="AH151" s="304">
        <v>296</v>
      </c>
      <c r="AI151" s="304">
        <v>311</v>
      </c>
      <c r="AJ151" s="304">
        <v>336</v>
      </c>
      <c r="AK151" s="304">
        <v>341</v>
      </c>
      <c r="AL151" s="304">
        <v>337</v>
      </c>
      <c r="AM151" s="304">
        <v>352</v>
      </c>
      <c r="AN151" s="304">
        <v>370</v>
      </c>
      <c r="AO151" s="304">
        <v>414</v>
      </c>
      <c r="AP151" s="304">
        <v>494</v>
      </c>
      <c r="AQ151" s="304">
        <v>544</v>
      </c>
      <c r="AR151" s="304">
        <v>643</v>
      </c>
      <c r="AS151" s="497">
        <v>703</v>
      </c>
      <c r="AT151" s="496">
        <f t="shared" si="113"/>
        <v>0</v>
      </c>
      <c r="AU151" s="304">
        <f t="shared" si="114"/>
        <v>0</v>
      </c>
      <c r="AV151" s="304">
        <f t="shared" si="115"/>
        <v>0</v>
      </c>
      <c r="AW151" s="304">
        <f t="shared" si="116"/>
        <v>0</v>
      </c>
      <c r="AX151" s="304">
        <f t="shared" si="117"/>
        <v>0</v>
      </c>
      <c r="AY151" s="304">
        <f t="shared" si="118"/>
        <v>0</v>
      </c>
      <c r="AZ151" s="304">
        <f t="shared" si="119"/>
        <v>352</v>
      </c>
      <c r="BA151" s="304">
        <f t="shared" si="120"/>
        <v>0</v>
      </c>
      <c r="BB151" s="304">
        <f t="shared" si="121"/>
        <v>0</v>
      </c>
      <c r="BC151" s="304">
        <f t="shared" si="122"/>
        <v>0</v>
      </c>
      <c r="BD151" s="304">
        <f t="shared" si="123"/>
        <v>0</v>
      </c>
      <c r="BE151" s="304">
        <f t="shared" si="124"/>
        <v>0</v>
      </c>
      <c r="BF151" s="497">
        <f t="shared" si="125"/>
        <v>0</v>
      </c>
      <c r="BG151" s="496" t="str">
        <f t="shared" si="126"/>
        <v/>
      </c>
      <c r="BH151" s="304" t="str">
        <f t="shared" si="127"/>
        <v/>
      </c>
      <c r="BI151" s="304" t="str">
        <f t="shared" si="128"/>
        <v/>
      </c>
      <c r="BJ151" s="304" t="str">
        <f t="shared" si="129"/>
        <v/>
      </c>
      <c r="BK151" s="304" t="str">
        <f t="shared" si="130"/>
        <v/>
      </c>
      <c r="BL151" s="304" t="str">
        <f t="shared" si="131"/>
        <v/>
      </c>
      <c r="BM151" s="304">
        <f t="shared" si="132"/>
        <v>22</v>
      </c>
      <c r="BN151" s="304" t="str">
        <f t="shared" si="133"/>
        <v/>
      </c>
      <c r="BO151" s="304" t="str">
        <f t="shared" si="134"/>
        <v/>
      </c>
      <c r="BP151" s="304" t="str">
        <f t="shared" si="135"/>
        <v/>
      </c>
      <c r="BQ151" s="304" t="str">
        <f t="shared" si="136"/>
        <v/>
      </c>
      <c r="BR151" s="304" t="str">
        <f t="shared" si="137"/>
        <v/>
      </c>
      <c r="BS151" s="497" t="str">
        <f t="shared" si="138"/>
        <v/>
      </c>
      <c r="BT151" s="302"/>
      <c r="BU151" s="302"/>
    </row>
    <row r="152" spans="1:73">
      <c r="A152" s="302"/>
      <c r="B152" s="302"/>
      <c r="C152" s="325" t="s">
        <v>394</v>
      </c>
      <c r="D152" s="326">
        <v>111.6</v>
      </c>
      <c r="E152" s="326">
        <v>107.336</v>
      </c>
      <c r="F152" s="327">
        <f t="shared" si="93"/>
        <v>4.2639999999999958</v>
      </c>
      <c r="G152" s="325" t="s">
        <v>395</v>
      </c>
      <c r="H152" s="326">
        <v>111.2</v>
      </c>
      <c r="I152" s="326">
        <v>107.16200000000001</v>
      </c>
      <c r="J152" s="327">
        <f t="shared" si="94"/>
        <v>4.0379999999999967</v>
      </c>
      <c r="K152" s="343">
        <f t="shared" si="95"/>
        <v>4.25</v>
      </c>
      <c r="L152" s="394">
        <v>24</v>
      </c>
      <c r="M152" s="394">
        <v>600</v>
      </c>
      <c r="N152" s="494">
        <f t="shared" si="96"/>
        <v>318</v>
      </c>
      <c r="O152" s="345">
        <v>106</v>
      </c>
      <c r="P152" s="346">
        <f t="shared" si="97"/>
        <v>212</v>
      </c>
      <c r="Q152" s="489" t="str">
        <f t="shared" si="98"/>
        <v/>
      </c>
      <c r="R152" s="490" t="str">
        <f t="shared" si="99"/>
        <v/>
      </c>
      <c r="S152" s="490" t="str">
        <f t="shared" si="100"/>
        <v/>
      </c>
      <c r="T152" s="490" t="str">
        <f t="shared" si="101"/>
        <v/>
      </c>
      <c r="U152" s="490" t="str">
        <f t="shared" si="102"/>
        <v/>
      </c>
      <c r="V152" s="490" t="str">
        <f t="shared" si="103"/>
        <v/>
      </c>
      <c r="W152" s="490">
        <f t="shared" si="104"/>
        <v>5088</v>
      </c>
      <c r="X152" s="490" t="str">
        <f t="shared" si="105"/>
        <v/>
      </c>
      <c r="Y152" s="490" t="str">
        <f t="shared" si="106"/>
        <v/>
      </c>
      <c r="Z152" s="490" t="str">
        <f t="shared" si="107"/>
        <v/>
      </c>
      <c r="AA152" s="490" t="str">
        <f t="shared" si="108"/>
        <v/>
      </c>
      <c r="AB152" s="490" t="str">
        <f t="shared" si="109"/>
        <v/>
      </c>
      <c r="AC152" s="335" t="str">
        <f t="shared" si="110"/>
        <v/>
      </c>
      <c r="AD152" s="396"/>
      <c r="AE152" s="495">
        <f t="shared" si="111"/>
        <v>95.759999999999991</v>
      </c>
      <c r="AF152" s="495">
        <f t="shared" si="112"/>
        <v>15.120000000000001</v>
      </c>
      <c r="AG152" s="496">
        <v>204</v>
      </c>
      <c r="AH152" s="304">
        <v>240</v>
      </c>
      <c r="AI152" s="304">
        <v>271</v>
      </c>
      <c r="AJ152" s="304">
        <v>285</v>
      </c>
      <c r="AK152" s="304">
        <v>289</v>
      </c>
      <c r="AL152" s="304">
        <v>291</v>
      </c>
      <c r="AM152" s="304">
        <v>318</v>
      </c>
      <c r="AN152" s="304">
        <v>336</v>
      </c>
      <c r="AO152" s="304">
        <v>380</v>
      </c>
      <c r="AP152" s="304">
        <v>460</v>
      </c>
      <c r="AQ152" s="304">
        <v>510</v>
      </c>
      <c r="AR152" s="304">
        <v>609</v>
      </c>
      <c r="AS152" s="497">
        <v>669</v>
      </c>
      <c r="AT152" s="496">
        <f t="shared" si="113"/>
        <v>0</v>
      </c>
      <c r="AU152" s="304">
        <f t="shared" si="114"/>
        <v>0</v>
      </c>
      <c r="AV152" s="304">
        <f t="shared" si="115"/>
        <v>0</v>
      </c>
      <c r="AW152" s="304">
        <f t="shared" si="116"/>
        <v>0</v>
      </c>
      <c r="AX152" s="304">
        <f t="shared" si="117"/>
        <v>0</v>
      </c>
      <c r="AY152" s="304">
        <f t="shared" si="118"/>
        <v>0</v>
      </c>
      <c r="AZ152" s="304">
        <f t="shared" si="119"/>
        <v>318</v>
      </c>
      <c r="BA152" s="304">
        <f t="shared" si="120"/>
        <v>0</v>
      </c>
      <c r="BB152" s="304">
        <f t="shared" si="121"/>
        <v>0</v>
      </c>
      <c r="BC152" s="304">
        <f t="shared" si="122"/>
        <v>0</v>
      </c>
      <c r="BD152" s="304">
        <f t="shared" si="123"/>
        <v>0</v>
      </c>
      <c r="BE152" s="304">
        <f t="shared" si="124"/>
        <v>0</v>
      </c>
      <c r="BF152" s="497">
        <f t="shared" si="125"/>
        <v>0</v>
      </c>
      <c r="BG152" s="496" t="str">
        <f t="shared" si="126"/>
        <v/>
      </c>
      <c r="BH152" s="304" t="str">
        <f t="shared" si="127"/>
        <v/>
      </c>
      <c r="BI152" s="304" t="str">
        <f t="shared" si="128"/>
        <v/>
      </c>
      <c r="BJ152" s="304" t="str">
        <f t="shared" si="129"/>
        <v/>
      </c>
      <c r="BK152" s="304" t="str">
        <f t="shared" si="130"/>
        <v/>
      </c>
      <c r="BL152" s="304" t="str">
        <f t="shared" si="131"/>
        <v/>
      </c>
      <c r="BM152" s="304">
        <f t="shared" si="132"/>
        <v>24</v>
      </c>
      <c r="BN152" s="304" t="str">
        <f t="shared" si="133"/>
        <v/>
      </c>
      <c r="BO152" s="304" t="str">
        <f t="shared" si="134"/>
        <v/>
      </c>
      <c r="BP152" s="304" t="str">
        <f t="shared" si="135"/>
        <v/>
      </c>
      <c r="BQ152" s="304" t="str">
        <f t="shared" si="136"/>
        <v/>
      </c>
      <c r="BR152" s="304" t="str">
        <f t="shared" si="137"/>
        <v/>
      </c>
      <c r="BS152" s="497" t="str">
        <f t="shared" si="138"/>
        <v/>
      </c>
      <c r="BT152" s="302"/>
      <c r="BU152" s="302"/>
    </row>
    <row r="153" spans="1:73">
      <c r="A153" s="302"/>
      <c r="B153" s="302"/>
      <c r="C153" s="325" t="s">
        <v>395</v>
      </c>
      <c r="D153" s="326">
        <v>111.2</v>
      </c>
      <c r="E153" s="326">
        <v>107.16200000000001</v>
      </c>
      <c r="F153" s="327">
        <f t="shared" si="93"/>
        <v>4.0379999999999967</v>
      </c>
      <c r="G153" s="325" t="s">
        <v>396</v>
      </c>
      <c r="H153" s="326">
        <v>108.848</v>
      </c>
      <c r="I153" s="326">
        <v>106.887</v>
      </c>
      <c r="J153" s="327">
        <f t="shared" si="94"/>
        <v>1.9609999999999985</v>
      </c>
      <c r="K153" s="343">
        <f t="shared" si="95"/>
        <v>3</v>
      </c>
      <c r="L153" s="394">
        <v>37</v>
      </c>
      <c r="M153" s="394">
        <v>600</v>
      </c>
      <c r="N153" s="494">
        <f t="shared" si="96"/>
        <v>233</v>
      </c>
      <c r="O153" s="345">
        <v>106</v>
      </c>
      <c r="P153" s="346">
        <f t="shared" si="97"/>
        <v>127</v>
      </c>
      <c r="Q153" s="489" t="str">
        <f t="shared" si="98"/>
        <v/>
      </c>
      <c r="R153" s="490" t="str">
        <f t="shared" si="99"/>
        <v/>
      </c>
      <c r="S153" s="490" t="str">
        <f t="shared" si="100"/>
        <v/>
      </c>
      <c r="T153" s="490" t="str">
        <f t="shared" si="101"/>
        <v/>
      </c>
      <c r="U153" s="490" t="str">
        <f t="shared" si="102"/>
        <v/>
      </c>
      <c r="V153" s="490" t="str">
        <f t="shared" si="103"/>
        <v/>
      </c>
      <c r="W153" s="490">
        <f t="shared" si="104"/>
        <v>4699</v>
      </c>
      <c r="X153" s="490" t="str">
        <f t="shared" si="105"/>
        <v/>
      </c>
      <c r="Y153" s="490" t="str">
        <f t="shared" si="106"/>
        <v/>
      </c>
      <c r="Z153" s="490" t="str">
        <f t="shared" si="107"/>
        <v/>
      </c>
      <c r="AA153" s="490" t="str">
        <f t="shared" si="108"/>
        <v/>
      </c>
      <c r="AB153" s="490" t="str">
        <f t="shared" si="109"/>
        <v/>
      </c>
      <c r="AC153" s="335" t="str">
        <f t="shared" si="110"/>
        <v/>
      </c>
      <c r="AD153" s="396"/>
      <c r="AE153" s="495">
        <f t="shared" si="111"/>
        <v>99.067499999999995</v>
      </c>
      <c r="AF153" s="495">
        <f t="shared" si="112"/>
        <v>23.31</v>
      </c>
      <c r="AG153" s="496">
        <v>125</v>
      </c>
      <c r="AH153" s="304">
        <v>154</v>
      </c>
      <c r="AI153" s="304">
        <v>171</v>
      </c>
      <c r="AJ153" s="304">
        <v>200</v>
      </c>
      <c r="AK153" s="304">
        <v>218</v>
      </c>
      <c r="AL153" s="304">
        <v>221</v>
      </c>
      <c r="AM153" s="304">
        <v>233</v>
      </c>
      <c r="AN153" s="304">
        <v>251</v>
      </c>
      <c r="AO153" s="304">
        <v>281</v>
      </c>
      <c r="AP153" s="304">
        <v>361</v>
      </c>
      <c r="AQ153" s="304">
        <v>411</v>
      </c>
      <c r="AR153" s="304">
        <v>496</v>
      </c>
      <c r="AS153" s="497">
        <v>556</v>
      </c>
      <c r="AT153" s="496">
        <f t="shared" si="113"/>
        <v>0</v>
      </c>
      <c r="AU153" s="304">
        <f t="shared" si="114"/>
        <v>0</v>
      </c>
      <c r="AV153" s="304">
        <f t="shared" si="115"/>
        <v>0</v>
      </c>
      <c r="AW153" s="304">
        <f t="shared" si="116"/>
        <v>0</v>
      </c>
      <c r="AX153" s="304">
        <f t="shared" si="117"/>
        <v>0</v>
      </c>
      <c r="AY153" s="304">
        <f t="shared" si="118"/>
        <v>0</v>
      </c>
      <c r="AZ153" s="304">
        <f t="shared" si="119"/>
        <v>233</v>
      </c>
      <c r="BA153" s="304">
        <f t="shared" si="120"/>
        <v>0</v>
      </c>
      <c r="BB153" s="304">
        <f t="shared" si="121"/>
        <v>0</v>
      </c>
      <c r="BC153" s="304">
        <f t="shared" si="122"/>
        <v>0</v>
      </c>
      <c r="BD153" s="304">
        <f t="shared" si="123"/>
        <v>0</v>
      </c>
      <c r="BE153" s="304">
        <f t="shared" si="124"/>
        <v>0</v>
      </c>
      <c r="BF153" s="497">
        <f t="shared" si="125"/>
        <v>0</v>
      </c>
      <c r="BG153" s="496" t="str">
        <f t="shared" si="126"/>
        <v/>
      </c>
      <c r="BH153" s="304" t="str">
        <f t="shared" si="127"/>
        <v/>
      </c>
      <c r="BI153" s="304" t="str">
        <f t="shared" si="128"/>
        <v/>
      </c>
      <c r="BJ153" s="304" t="str">
        <f t="shared" si="129"/>
        <v/>
      </c>
      <c r="BK153" s="304" t="str">
        <f t="shared" si="130"/>
        <v/>
      </c>
      <c r="BL153" s="304" t="str">
        <f t="shared" si="131"/>
        <v/>
      </c>
      <c r="BM153" s="304">
        <f t="shared" si="132"/>
        <v>37</v>
      </c>
      <c r="BN153" s="304" t="str">
        <f t="shared" si="133"/>
        <v/>
      </c>
      <c r="BO153" s="304" t="str">
        <f t="shared" si="134"/>
        <v/>
      </c>
      <c r="BP153" s="304" t="str">
        <f t="shared" si="135"/>
        <v/>
      </c>
      <c r="BQ153" s="304" t="str">
        <f t="shared" si="136"/>
        <v/>
      </c>
      <c r="BR153" s="304" t="str">
        <f t="shared" si="137"/>
        <v/>
      </c>
      <c r="BS153" s="497" t="str">
        <f t="shared" si="138"/>
        <v/>
      </c>
      <c r="BT153" s="302"/>
      <c r="BU153" s="302"/>
    </row>
    <row r="154" spans="1:73">
      <c r="A154" s="302"/>
      <c r="B154" s="302"/>
      <c r="C154" s="325" t="s">
        <v>396</v>
      </c>
      <c r="D154" s="326">
        <v>108.848</v>
      </c>
      <c r="E154" s="326">
        <v>106.887</v>
      </c>
      <c r="F154" s="327">
        <f t="shared" si="93"/>
        <v>1.9609999999999985</v>
      </c>
      <c r="G154" s="325" t="s">
        <v>397</v>
      </c>
      <c r="H154" s="326">
        <v>107.751</v>
      </c>
      <c r="I154" s="326">
        <v>105.79</v>
      </c>
      <c r="J154" s="327">
        <f t="shared" si="94"/>
        <v>1.9609999999999985</v>
      </c>
      <c r="K154" s="343">
        <f t="shared" si="95"/>
        <v>2</v>
      </c>
      <c r="L154" s="394">
        <v>23</v>
      </c>
      <c r="M154" s="394">
        <v>600</v>
      </c>
      <c r="N154" s="494">
        <f t="shared" si="96"/>
        <v>175</v>
      </c>
      <c r="O154" s="345">
        <v>106</v>
      </c>
      <c r="P154" s="346">
        <f t="shared" si="97"/>
        <v>69</v>
      </c>
      <c r="Q154" s="489" t="str">
        <f t="shared" si="98"/>
        <v/>
      </c>
      <c r="R154" s="490" t="str">
        <f t="shared" si="99"/>
        <v/>
      </c>
      <c r="S154" s="490" t="str">
        <f t="shared" si="100"/>
        <v/>
      </c>
      <c r="T154" s="490" t="str">
        <f t="shared" si="101"/>
        <v/>
      </c>
      <c r="U154" s="490" t="str">
        <f t="shared" si="102"/>
        <v/>
      </c>
      <c r="V154" s="490" t="str">
        <f t="shared" si="103"/>
        <v/>
      </c>
      <c r="W154" s="490">
        <f t="shared" si="104"/>
        <v>1587</v>
      </c>
      <c r="X154" s="490" t="str">
        <f t="shared" si="105"/>
        <v/>
      </c>
      <c r="Y154" s="490" t="str">
        <f t="shared" si="106"/>
        <v/>
      </c>
      <c r="Z154" s="490" t="str">
        <f t="shared" si="107"/>
        <v/>
      </c>
      <c r="AA154" s="490" t="str">
        <f t="shared" si="108"/>
        <v/>
      </c>
      <c r="AB154" s="490" t="str">
        <f t="shared" si="109"/>
        <v/>
      </c>
      <c r="AC154" s="335" t="str">
        <f t="shared" si="110"/>
        <v/>
      </c>
      <c r="AD154" s="396"/>
      <c r="AE154" s="495">
        <f t="shared" si="111"/>
        <v>37.432500000000005</v>
      </c>
      <c r="AF154" s="495">
        <f t="shared" si="112"/>
        <v>14.49</v>
      </c>
      <c r="AG154" s="496">
        <v>88</v>
      </c>
      <c r="AH154" s="304">
        <v>109</v>
      </c>
      <c r="AI154" s="304">
        <v>126</v>
      </c>
      <c r="AJ154" s="304">
        <v>149</v>
      </c>
      <c r="AK154" s="304">
        <v>163</v>
      </c>
      <c r="AL154" s="304">
        <v>165</v>
      </c>
      <c r="AM154" s="304">
        <v>175</v>
      </c>
      <c r="AN154" s="304">
        <v>193</v>
      </c>
      <c r="AO154" s="304">
        <v>230</v>
      </c>
      <c r="AP154" s="304">
        <v>305</v>
      </c>
      <c r="AQ154" s="304">
        <v>355</v>
      </c>
      <c r="AR154" s="304">
        <v>415</v>
      </c>
      <c r="AS154" s="497">
        <v>475</v>
      </c>
      <c r="AT154" s="496">
        <f t="shared" si="113"/>
        <v>0</v>
      </c>
      <c r="AU154" s="304">
        <f t="shared" si="114"/>
        <v>0</v>
      </c>
      <c r="AV154" s="304">
        <f t="shared" si="115"/>
        <v>0</v>
      </c>
      <c r="AW154" s="304">
        <f t="shared" si="116"/>
        <v>0</v>
      </c>
      <c r="AX154" s="304">
        <f t="shared" si="117"/>
        <v>0</v>
      </c>
      <c r="AY154" s="304">
        <f t="shared" si="118"/>
        <v>0</v>
      </c>
      <c r="AZ154" s="304">
        <f t="shared" si="119"/>
        <v>175</v>
      </c>
      <c r="BA154" s="304">
        <f t="shared" si="120"/>
        <v>0</v>
      </c>
      <c r="BB154" s="304">
        <f t="shared" si="121"/>
        <v>0</v>
      </c>
      <c r="BC154" s="304">
        <f t="shared" si="122"/>
        <v>0</v>
      </c>
      <c r="BD154" s="304">
        <f t="shared" si="123"/>
        <v>0</v>
      </c>
      <c r="BE154" s="304">
        <f t="shared" si="124"/>
        <v>0</v>
      </c>
      <c r="BF154" s="497">
        <f t="shared" si="125"/>
        <v>0</v>
      </c>
      <c r="BG154" s="496" t="str">
        <f t="shared" si="126"/>
        <v/>
      </c>
      <c r="BH154" s="304" t="str">
        <f t="shared" si="127"/>
        <v/>
      </c>
      <c r="BI154" s="304" t="str">
        <f t="shared" si="128"/>
        <v/>
      </c>
      <c r="BJ154" s="304" t="str">
        <f t="shared" si="129"/>
        <v/>
      </c>
      <c r="BK154" s="304" t="str">
        <f t="shared" si="130"/>
        <v/>
      </c>
      <c r="BL154" s="304" t="str">
        <f t="shared" si="131"/>
        <v/>
      </c>
      <c r="BM154" s="304">
        <f t="shared" si="132"/>
        <v>23</v>
      </c>
      <c r="BN154" s="304" t="str">
        <f t="shared" si="133"/>
        <v/>
      </c>
      <c r="BO154" s="304" t="str">
        <f t="shared" si="134"/>
        <v/>
      </c>
      <c r="BP154" s="304" t="str">
        <f t="shared" si="135"/>
        <v/>
      </c>
      <c r="BQ154" s="304" t="str">
        <f t="shared" si="136"/>
        <v/>
      </c>
      <c r="BR154" s="304" t="str">
        <f t="shared" si="137"/>
        <v/>
      </c>
      <c r="BS154" s="497" t="str">
        <f t="shared" si="138"/>
        <v/>
      </c>
      <c r="BT154" s="302"/>
      <c r="BU154" s="302"/>
    </row>
    <row r="155" spans="1:73">
      <c r="A155" s="302"/>
      <c r="B155" s="302"/>
      <c r="C155" s="325" t="s">
        <v>397</v>
      </c>
      <c r="D155" s="326">
        <v>107.751</v>
      </c>
      <c r="E155" s="326">
        <v>105.79</v>
      </c>
      <c r="F155" s="327">
        <f t="shared" si="93"/>
        <v>1.9609999999999985</v>
      </c>
      <c r="G155" s="325" t="s">
        <v>398</v>
      </c>
      <c r="H155" s="326">
        <v>107.56699999999999</v>
      </c>
      <c r="I155" s="326">
        <v>105.79</v>
      </c>
      <c r="J155" s="327">
        <f t="shared" si="94"/>
        <v>1.7769999999999868</v>
      </c>
      <c r="K155" s="343">
        <f t="shared" si="95"/>
        <v>2</v>
      </c>
      <c r="L155" s="394">
        <v>5</v>
      </c>
      <c r="M155" s="394">
        <v>600</v>
      </c>
      <c r="N155" s="494">
        <f t="shared" si="96"/>
        <v>175</v>
      </c>
      <c r="O155" s="345">
        <v>106</v>
      </c>
      <c r="P155" s="346">
        <f t="shared" si="97"/>
        <v>69</v>
      </c>
      <c r="Q155" s="489" t="str">
        <f t="shared" si="98"/>
        <v/>
      </c>
      <c r="R155" s="490" t="str">
        <f t="shared" si="99"/>
        <v/>
      </c>
      <c r="S155" s="490" t="str">
        <f t="shared" si="100"/>
        <v/>
      </c>
      <c r="T155" s="490" t="str">
        <f t="shared" si="101"/>
        <v/>
      </c>
      <c r="U155" s="490" t="str">
        <f t="shared" si="102"/>
        <v/>
      </c>
      <c r="V155" s="490" t="str">
        <f t="shared" si="103"/>
        <v/>
      </c>
      <c r="W155" s="490">
        <f t="shared" si="104"/>
        <v>345</v>
      </c>
      <c r="X155" s="490" t="str">
        <f t="shared" si="105"/>
        <v/>
      </c>
      <c r="Y155" s="490" t="str">
        <f t="shared" si="106"/>
        <v/>
      </c>
      <c r="Z155" s="490" t="str">
        <f t="shared" si="107"/>
        <v/>
      </c>
      <c r="AA155" s="490" t="str">
        <f t="shared" si="108"/>
        <v/>
      </c>
      <c r="AB155" s="490" t="str">
        <f t="shared" si="109"/>
        <v/>
      </c>
      <c r="AC155" s="335" t="str">
        <f t="shared" si="110"/>
        <v/>
      </c>
      <c r="AD155" s="396"/>
      <c r="AE155" s="495">
        <f t="shared" si="111"/>
        <v>8.1375000000000011</v>
      </c>
      <c r="AF155" s="495">
        <f t="shared" si="112"/>
        <v>3.15</v>
      </c>
      <c r="AG155" s="496">
        <v>88</v>
      </c>
      <c r="AH155" s="304">
        <v>109</v>
      </c>
      <c r="AI155" s="304">
        <v>126</v>
      </c>
      <c r="AJ155" s="304">
        <v>149</v>
      </c>
      <c r="AK155" s="304">
        <v>163</v>
      </c>
      <c r="AL155" s="304">
        <v>165</v>
      </c>
      <c r="AM155" s="304">
        <v>175</v>
      </c>
      <c r="AN155" s="304">
        <v>193</v>
      </c>
      <c r="AO155" s="304">
        <v>230</v>
      </c>
      <c r="AP155" s="304">
        <v>305</v>
      </c>
      <c r="AQ155" s="304">
        <v>355</v>
      </c>
      <c r="AR155" s="304">
        <v>415</v>
      </c>
      <c r="AS155" s="497">
        <v>475</v>
      </c>
      <c r="AT155" s="496">
        <f t="shared" si="113"/>
        <v>0</v>
      </c>
      <c r="AU155" s="304">
        <f t="shared" si="114"/>
        <v>0</v>
      </c>
      <c r="AV155" s="304">
        <f t="shared" si="115"/>
        <v>0</v>
      </c>
      <c r="AW155" s="304">
        <f t="shared" si="116"/>
        <v>0</v>
      </c>
      <c r="AX155" s="304">
        <f t="shared" si="117"/>
        <v>0</v>
      </c>
      <c r="AY155" s="304">
        <f t="shared" si="118"/>
        <v>0</v>
      </c>
      <c r="AZ155" s="304">
        <f t="shared" si="119"/>
        <v>175</v>
      </c>
      <c r="BA155" s="304">
        <f t="shared" si="120"/>
        <v>0</v>
      </c>
      <c r="BB155" s="304">
        <f t="shared" si="121"/>
        <v>0</v>
      </c>
      <c r="BC155" s="304">
        <f t="shared" si="122"/>
        <v>0</v>
      </c>
      <c r="BD155" s="304">
        <f t="shared" si="123"/>
        <v>0</v>
      </c>
      <c r="BE155" s="304">
        <f t="shared" si="124"/>
        <v>0</v>
      </c>
      <c r="BF155" s="497">
        <f t="shared" si="125"/>
        <v>0</v>
      </c>
      <c r="BG155" s="496" t="str">
        <f t="shared" si="126"/>
        <v/>
      </c>
      <c r="BH155" s="304" t="str">
        <f t="shared" si="127"/>
        <v/>
      </c>
      <c r="BI155" s="304" t="str">
        <f t="shared" si="128"/>
        <v/>
      </c>
      <c r="BJ155" s="304" t="str">
        <f t="shared" si="129"/>
        <v/>
      </c>
      <c r="BK155" s="304" t="str">
        <f t="shared" si="130"/>
        <v/>
      </c>
      <c r="BL155" s="304" t="str">
        <f t="shared" si="131"/>
        <v/>
      </c>
      <c r="BM155" s="304">
        <f t="shared" si="132"/>
        <v>5</v>
      </c>
      <c r="BN155" s="304" t="str">
        <f t="shared" si="133"/>
        <v/>
      </c>
      <c r="BO155" s="304" t="str">
        <f t="shared" si="134"/>
        <v/>
      </c>
      <c r="BP155" s="304" t="str">
        <f t="shared" si="135"/>
        <v/>
      </c>
      <c r="BQ155" s="304" t="str">
        <f t="shared" si="136"/>
        <v/>
      </c>
      <c r="BR155" s="304" t="str">
        <f t="shared" si="137"/>
        <v/>
      </c>
      <c r="BS155" s="497" t="str">
        <f t="shared" si="138"/>
        <v/>
      </c>
      <c r="BT155" s="302"/>
      <c r="BU155" s="302"/>
    </row>
    <row r="156" spans="1:73">
      <c r="A156" s="302"/>
      <c r="B156" s="302"/>
      <c r="C156" s="325" t="s">
        <v>398</v>
      </c>
      <c r="D156" s="326">
        <v>107.56699999999999</v>
      </c>
      <c r="E156" s="326">
        <v>105.79</v>
      </c>
      <c r="F156" s="327">
        <f t="shared" si="93"/>
        <v>1.7769999999999868</v>
      </c>
      <c r="G156" s="325" t="s">
        <v>399</v>
      </c>
      <c r="H156" s="326">
        <v>107.5</v>
      </c>
      <c r="I156" s="326">
        <v>105.69799999999999</v>
      </c>
      <c r="J156" s="327">
        <f t="shared" si="94"/>
        <v>1.8020000000000067</v>
      </c>
      <c r="K156" s="343">
        <f t="shared" si="95"/>
        <v>2</v>
      </c>
      <c r="L156" s="394">
        <v>9</v>
      </c>
      <c r="M156" s="394">
        <v>600</v>
      </c>
      <c r="N156" s="494">
        <f t="shared" si="96"/>
        <v>175</v>
      </c>
      <c r="O156" s="345">
        <v>106</v>
      </c>
      <c r="P156" s="346">
        <f t="shared" si="97"/>
        <v>69</v>
      </c>
      <c r="Q156" s="489" t="str">
        <f t="shared" si="98"/>
        <v/>
      </c>
      <c r="R156" s="490" t="str">
        <f t="shared" si="99"/>
        <v/>
      </c>
      <c r="S156" s="490" t="str">
        <f t="shared" si="100"/>
        <v/>
      </c>
      <c r="T156" s="490" t="str">
        <f t="shared" si="101"/>
        <v/>
      </c>
      <c r="U156" s="490" t="str">
        <f t="shared" si="102"/>
        <v/>
      </c>
      <c r="V156" s="490" t="str">
        <f t="shared" si="103"/>
        <v/>
      </c>
      <c r="W156" s="490">
        <f t="shared" si="104"/>
        <v>621</v>
      </c>
      <c r="X156" s="490" t="str">
        <f t="shared" si="105"/>
        <v/>
      </c>
      <c r="Y156" s="490" t="str">
        <f t="shared" si="106"/>
        <v/>
      </c>
      <c r="Z156" s="490" t="str">
        <f t="shared" si="107"/>
        <v/>
      </c>
      <c r="AA156" s="490" t="str">
        <f t="shared" si="108"/>
        <v/>
      </c>
      <c r="AB156" s="490" t="str">
        <f t="shared" si="109"/>
        <v/>
      </c>
      <c r="AC156" s="335" t="str">
        <f t="shared" si="110"/>
        <v/>
      </c>
      <c r="AD156" s="396"/>
      <c r="AE156" s="495">
        <f t="shared" si="111"/>
        <v>14.647500000000001</v>
      </c>
      <c r="AF156" s="495">
        <f t="shared" si="112"/>
        <v>5.67</v>
      </c>
      <c r="AG156" s="496">
        <v>88</v>
      </c>
      <c r="AH156" s="304">
        <v>109</v>
      </c>
      <c r="AI156" s="304">
        <v>126</v>
      </c>
      <c r="AJ156" s="304">
        <v>149</v>
      </c>
      <c r="AK156" s="304">
        <v>163</v>
      </c>
      <c r="AL156" s="304">
        <v>165</v>
      </c>
      <c r="AM156" s="304">
        <v>175</v>
      </c>
      <c r="AN156" s="304">
        <v>193</v>
      </c>
      <c r="AO156" s="304">
        <v>230</v>
      </c>
      <c r="AP156" s="304">
        <v>305</v>
      </c>
      <c r="AQ156" s="304">
        <v>355</v>
      </c>
      <c r="AR156" s="304">
        <v>415</v>
      </c>
      <c r="AS156" s="497">
        <v>475</v>
      </c>
      <c r="AT156" s="496">
        <f t="shared" si="113"/>
        <v>0</v>
      </c>
      <c r="AU156" s="304">
        <f t="shared" si="114"/>
        <v>0</v>
      </c>
      <c r="AV156" s="304">
        <f t="shared" si="115"/>
        <v>0</v>
      </c>
      <c r="AW156" s="304">
        <f t="shared" si="116"/>
        <v>0</v>
      </c>
      <c r="AX156" s="304">
        <f t="shared" si="117"/>
        <v>0</v>
      </c>
      <c r="AY156" s="304">
        <f t="shared" si="118"/>
        <v>0</v>
      </c>
      <c r="AZ156" s="304">
        <f t="shared" si="119"/>
        <v>175</v>
      </c>
      <c r="BA156" s="304">
        <f t="shared" si="120"/>
        <v>0</v>
      </c>
      <c r="BB156" s="304">
        <f t="shared" si="121"/>
        <v>0</v>
      </c>
      <c r="BC156" s="304">
        <f t="shared" si="122"/>
        <v>0</v>
      </c>
      <c r="BD156" s="304">
        <f t="shared" si="123"/>
        <v>0</v>
      </c>
      <c r="BE156" s="304">
        <f t="shared" si="124"/>
        <v>0</v>
      </c>
      <c r="BF156" s="497">
        <f t="shared" si="125"/>
        <v>0</v>
      </c>
      <c r="BG156" s="496" t="str">
        <f t="shared" si="126"/>
        <v/>
      </c>
      <c r="BH156" s="304" t="str">
        <f t="shared" si="127"/>
        <v/>
      </c>
      <c r="BI156" s="304" t="str">
        <f t="shared" si="128"/>
        <v/>
      </c>
      <c r="BJ156" s="304" t="str">
        <f t="shared" si="129"/>
        <v/>
      </c>
      <c r="BK156" s="304" t="str">
        <f t="shared" si="130"/>
        <v/>
      </c>
      <c r="BL156" s="304" t="str">
        <f t="shared" si="131"/>
        <v/>
      </c>
      <c r="BM156" s="304">
        <f t="shared" si="132"/>
        <v>9</v>
      </c>
      <c r="BN156" s="304" t="str">
        <f t="shared" si="133"/>
        <v/>
      </c>
      <c r="BO156" s="304" t="str">
        <f t="shared" si="134"/>
        <v/>
      </c>
      <c r="BP156" s="304" t="str">
        <f t="shared" si="135"/>
        <v/>
      </c>
      <c r="BQ156" s="304" t="str">
        <f t="shared" si="136"/>
        <v/>
      </c>
      <c r="BR156" s="304" t="str">
        <f t="shared" si="137"/>
        <v/>
      </c>
      <c r="BS156" s="497" t="str">
        <f t="shared" si="138"/>
        <v/>
      </c>
      <c r="BT156" s="302"/>
      <c r="BU156" s="302"/>
    </row>
    <row r="157" spans="1:73">
      <c r="A157" s="302"/>
      <c r="B157" s="302"/>
      <c r="C157" s="325"/>
      <c r="D157" s="326"/>
      <c r="E157" s="326"/>
      <c r="F157" s="327">
        <f t="shared" si="93"/>
        <v>0</v>
      </c>
      <c r="G157" s="325"/>
      <c r="H157" s="326"/>
      <c r="I157" s="326"/>
      <c r="J157" s="327">
        <f t="shared" si="94"/>
        <v>0</v>
      </c>
      <c r="K157" s="343">
        <f t="shared" si="95"/>
        <v>0</v>
      </c>
      <c r="L157" s="394"/>
      <c r="M157" s="394"/>
      <c r="N157" s="494">
        <f t="shared" si="96"/>
        <v>0</v>
      </c>
      <c r="O157" s="345">
        <v>0</v>
      </c>
      <c r="P157" s="346">
        <f t="shared" si="97"/>
        <v>0</v>
      </c>
      <c r="Q157" s="489" t="str">
        <f t="shared" si="98"/>
        <v/>
      </c>
      <c r="R157" s="490" t="str">
        <f t="shared" si="99"/>
        <v/>
      </c>
      <c r="S157" s="490" t="str">
        <f t="shared" si="100"/>
        <v/>
      </c>
      <c r="T157" s="490" t="str">
        <f t="shared" si="101"/>
        <v/>
      </c>
      <c r="U157" s="490" t="str">
        <f t="shared" si="102"/>
        <v/>
      </c>
      <c r="V157" s="490" t="str">
        <f t="shared" si="103"/>
        <v/>
      </c>
      <c r="W157" s="490" t="str">
        <f t="shared" si="104"/>
        <v/>
      </c>
      <c r="X157" s="490" t="str">
        <f t="shared" si="105"/>
        <v/>
      </c>
      <c r="Y157" s="490" t="str">
        <f t="shared" si="106"/>
        <v/>
      </c>
      <c r="Z157" s="490" t="str">
        <f t="shared" si="107"/>
        <v/>
      </c>
      <c r="AA157" s="490" t="str">
        <f t="shared" si="108"/>
        <v/>
      </c>
      <c r="AB157" s="490" t="str">
        <f t="shared" si="109"/>
        <v/>
      </c>
      <c r="AC157" s="335" t="str">
        <f t="shared" si="110"/>
        <v/>
      </c>
      <c r="AD157" s="396"/>
      <c r="AE157" s="495">
        <f t="shared" si="111"/>
        <v>0</v>
      </c>
      <c r="AF157" s="495">
        <f t="shared" si="112"/>
        <v>0</v>
      </c>
      <c r="AG157" s="496">
        <v>0</v>
      </c>
      <c r="AH157" s="304">
        <v>0</v>
      </c>
      <c r="AI157" s="304">
        <v>0</v>
      </c>
      <c r="AJ157" s="304">
        <v>0</v>
      </c>
      <c r="AK157" s="304">
        <v>0</v>
      </c>
      <c r="AL157" s="304">
        <v>0</v>
      </c>
      <c r="AM157" s="304">
        <v>0</v>
      </c>
      <c r="AN157" s="304">
        <v>0</v>
      </c>
      <c r="AO157" s="304">
        <v>0</v>
      </c>
      <c r="AP157" s="304">
        <v>0</v>
      </c>
      <c r="AQ157" s="304">
        <v>0</v>
      </c>
      <c r="AR157" s="304">
        <v>0</v>
      </c>
      <c r="AS157" s="497">
        <v>0</v>
      </c>
      <c r="AT157" s="496">
        <f t="shared" si="113"/>
        <v>0</v>
      </c>
      <c r="AU157" s="304">
        <f t="shared" si="114"/>
        <v>0</v>
      </c>
      <c r="AV157" s="304">
        <f t="shared" si="115"/>
        <v>0</v>
      </c>
      <c r="AW157" s="304">
        <f t="shared" si="116"/>
        <v>0</v>
      </c>
      <c r="AX157" s="304">
        <f t="shared" si="117"/>
        <v>0</v>
      </c>
      <c r="AY157" s="304">
        <f t="shared" si="118"/>
        <v>0</v>
      </c>
      <c r="AZ157" s="304">
        <f t="shared" si="119"/>
        <v>0</v>
      </c>
      <c r="BA157" s="304">
        <f t="shared" si="120"/>
        <v>0</v>
      </c>
      <c r="BB157" s="304">
        <f t="shared" si="121"/>
        <v>0</v>
      </c>
      <c r="BC157" s="304">
        <f t="shared" si="122"/>
        <v>0</v>
      </c>
      <c r="BD157" s="304">
        <f t="shared" si="123"/>
        <v>0</v>
      </c>
      <c r="BE157" s="304">
        <f t="shared" si="124"/>
        <v>0</v>
      </c>
      <c r="BF157" s="497">
        <f t="shared" si="125"/>
        <v>0</v>
      </c>
      <c r="BG157" s="496" t="str">
        <f t="shared" si="126"/>
        <v/>
      </c>
      <c r="BH157" s="304" t="str">
        <f t="shared" si="127"/>
        <v/>
      </c>
      <c r="BI157" s="304" t="str">
        <f t="shared" si="128"/>
        <v/>
      </c>
      <c r="BJ157" s="304" t="str">
        <f t="shared" si="129"/>
        <v/>
      </c>
      <c r="BK157" s="304" t="str">
        <f t="shared" si="130"/>
        <v/>
      </c>
      <c r="BL157" s="304" t="str">
        <f t="shared" si="131"/>
        <v/>
      </c>
      <c r="BM157" s="304" t="str">
        <f t="shared" si="132"/>
        <v/>
      </c>
      <c r="BN157" s="304" t="str">
        <f t="shared" si="133"/>
        <v/>
      </c>
      <c r="BO157" s="304" t="str">
        <f t="shared" si="134"/>
        <v/>
      </c>
      <c r="BP157" s="304" t="str">
        <f t="shared" si="135"/>
        <v/>
      </c>
      <c r="BQ157" s="304" t="str">
        <f t="shared" si="136"/>
        <v/>
      </c>
      <c r="BR157" s="304" t="str">
        <f t="shared" si="137"/>
        <v/>
      </c>
      <c r="BS157" s="497" t="str">
        <f t="shared" si="138"/>
        <v/>
      </c>
      <c r="BT157" s="302"/>
      <c r="BU157" s="302"/>
    </row>
    <row r="158" spans="1:73">
      <c r="A158" s="302"/>
      <c r="B158" s="302"/>
      <c r="C158" s="325"/>
      <c r="D158" s="326"/>
      <c r="E158" s="326"/>
      <c r="F158" s="327">
        <f t="shared" si="93"/>
        <v>0</v>
      </c>
      <c r="G158" s="325"/>
      <c r="H158" s="326"/>
      <c r="I158" s="326"/>
      <c r="J158" s="327">
        <f t="shared" si="94"/>
        <v>0</v>
      </c>
      <c r="K158" s="343">
        <f t="shared" si="95"/>
        <v>0</v>
      </c>
      <c r="L158" s="394"/>
      <c r="M158" s="394"/>
      <c r="N158" s="494">
        <f t="shared" si="96"/>
        <v>0</v>
      </c>
      <c r="O158" s="345">
        <v>0</v>
      </c>
      <c r="P158" s="346">
        <f t="shared" si="97"/>
        <v>0</v>
      </c>
      <c r="Q158" s="489" t="str">
        <f t="shared" si="98"/>
        <v/>
      </c>
      <c r="R158" s="490" t="str">
        <f t="shared" si="99"/>
        <v/>
      </c>
      <c r="S158" s="490" t="str">
        <f t="shared" si="100"/>
        <v/>
      </c>
      <c r="T158" s="490" t="str">
        <f t="shared" si="101"/>
        <v/>
      </c>
      <c r="U158" s="490" t="str">
        <f t="shared" si="102"/>
        <v/>
      </c>
      <c r="V158" s="490" t="str">
        <f t="shared" si="103"/>
        <v/>
      </c>
      <c r="W158" s="490" t="str">
        <f t="shared" si="104"/>
        <v/>
      </c>
      <c r="X158" s="490" t="str">
        <f t="shared" si="105"/>
        <v/>
      </c>
      <c r="Y158" s="490" t="str">
        <f t="shared" si="106"/>
        <v/>
      </c>
      <c r="Z158" s="490" t="str">
        <f t="shared" si="107"/>
        <v/>
      </c>
      <c r="AA158" s="490" t="str">
        <f t="shared" si="108"/>
        <v/>
      </c>
      <c r="AB158" s="490" t="str">
        <f t="shared" si="109"/>
        <v/>
      </c>
      <c r="AC158" s="335" t="str">
        <f t="shared" si="110"/>
        <v/>
      </c>
      <c r="AD158" s="396"/>
      <c r="AE158" s="495">
        <f t="shared" si="111"/>
        <v>0</v>
      </c>
      <c r="AF158" s="495">
        <f t="shared" si="112"/>
        <v>0</v>
      </c>
      <c r="AG158" s="496">
        <v>0</v>
      </c>
      <c r="AH158" s="304">
        <v>0</v>
      </c>
      <c r="AI158" s="304">
        <v>0</v>
      </c>
      <c r="AJ158" s="304">
        <v>0</v>
      </c>
      <c r="AK158" s="304">
        <v>0</v>
      </c>
      <c r="AL158" s="304">
        <v>0</v>
      </c>
      <c r="AM158" s="304">
        <v>0</v>
      </c>
      <c r="AN158" s="304">
        <v>0</v>
      </c>
      <c r="AO158" s="304">
        <v>0</v>
      </c>
      <c r="AP158" s="304">
        <v>0</v>
      </c>
      <c r="AQ158" s="304">
        <v>0</v>
      </c>
      <c r="AR158" s="304">
        <v>0</v>
      </c>
      <c r="AS158" s="497">
        <v>0</v>
      </c>
      <c r="AT158" s="496">
        <f t="shared" si="113"/>
        <v>0</v>
      </c>
      <c r="AU158" s="304">
        <f t="shared" si="114"/>
        <v>0</v>
      </c>
      <c r="AV158" s="304">
        <f t="shared" si="115"/>
        <v>0</v>
      </c>
      <c r="AW158" s="304">
        <f t="shared" si="116"/>
        <v>0</v>
      </c>
      <c r="AX158" s="304">
        <f t="shared" si="117"/>
        <v>0</v>
      </c>
      <c r="AY158" s="304">
        <f t="shared" si="118"/>
        <v>0</v>
      </c>
      <c r="AZ158" s="304">
        <f t="shared" si="119"/>
        <v>0</v>
      </c>
      <c r="BA158" s="304">
        <f t="shared" si="120"/>
        <v>0</v>
      </c>
      <c r="BB158" s="304">
        <f t="shared" si="121"/>
        <v>0</v>
      </c>
      <c r="BC158" s="304">
        <f t="shared" si="122"/>
        <v>0</v>
      </c>
      <c r="BD158" s="304">
        <f t="shared" si="123"/>
        <v>0</v>
      </c>
      <c r="BE158" s="304">
        <f t="shared" si="124"/>
        <v>0</v>
      </c>
      <c r="BF158" s="497">
        <f t="shared" si="125"/>
        <v>0</v>
      </c>
      <c r="BG158" s="496" t="str">
        <f t="shared" si="126"/>
        <v/>
      </c>
      <c r="BH158" s="304" t="str">
        <f t="shared" si="127"/>
        <v/>
      </c>
      <c r="BI158" s="304" t="str">
        <f t="shared" si="128"/>
        <v/>
      </c>
      <c r="BJ158" s="304" t="str">
        <f t="shared" si="129"/>
        <v/>
      </c>
      <c r="BK158" s="304" t="str">
        <f t="shared" si="130"/>
        <v/>
      </c>
      <c r="BL158" s="304" t="str">
        <f t="shared" si="131"/>
        <v/>
      </c>
      <c r="BM158" s="304" t="str">
        <f t="shared" si="132"/>
        <v/>
      </c>
      <c r="BN158" s="304" t="str">
        <f t="shared" si="133"/>
        <v/>
      </c>
      <c r="BO158" s="304" t="str">
        <f t="shared" si="134"/>
        <v/>
      </c>
      <c r="BP158" s="304" t="str">
        <f t="shared" si="135"/>
        <v/>
      </c>
      <c r="BQ158" s="304" t="str">
        <f t="shared" si="136"/>
        <v/>
      </c>
      <c r="BR158" s="304" t="str">
        <f t="shared" si="137"/>
        <v/>
      </c>
      <c r="BS158" s="497" t="str">
        <f t="shared" si="138"/>
        <v/>
      </c>
      <c r="BT158" s="302"/>
      <c r="BU158" s="302"/>
    </row>
    <row r="159" spans="1:73">
      <c r="A159" s="302"/>
      <c r="B159" s="302"/>
      <c r="C159" s="325"/>
      <c r="D159" s="326"/>
      <c r="E159" s="326"/>
      <c r="F159" s="327">
        <f t="shared" si="93"/>
        <v>0</v>
      </c>
      <c r="G159" s="325"/>
      <c r="H159" s="326"/>
      <c r="I159" s="326"/>
      <c r="J159" s="327">
        <f t="shared" si="94"/>
        <v>0</v>
      </c>
      <c r="K159" s="343">
        <f t="shared" si="95"/>
        <v>0</v>
      </c>
      <c r="L159" s="394"/>
      <c r="M159" s="394"/>
      <c r="N159" s="494">
        <f t="shared" si="96"/>
        <v>0</v>
      </c>
      <c r="O159" s="345">
        <v>0</v>
      </c>
      <c r="P159" s="346">
        <f t="shared" si="97"/>
        <v>0</v>
      </c>
      <c r="Q159" s="489" t="str">
        <f t="shared" si="98"/>
        <v/>
      </c>
      <c r="R159" s="490" t="str">
        <f t="shared" si="99"/>
        <v/>
      </c>
      <c r="S159" s="490" t="str">
        <f t="shared" si="100"/>
        <v/>
      </c>
      <c r="T159" s="490" t="str">
        <f t="shared" si="101"/>
        <v/>
      </c>
      <c r="U159" s="490" t="str">
        <f t="shared" si="102"/>
        <v/>
      </c>
      <c r="V159" s="490" t="str">
        <f t="shared" si="103"/>
        <v/>
      </c>
      <c r="W159" s="490" t="str">
        <f t="shared" si="104"/>
        <v/>
      </c>
      <c r="X159" s="490" t="str">
        <f t="shared" si="105"/>
        <v/>
      </c>
      <c r="Y159" s="490" t="str">
        <f t="shared" si="106"/>
        <v/>
      </c>
      <c r="Z159" s="490" t="str">
        <f t="shared" si="107"/>
        <v/>
      </c>
      <c r="AA159" s="490" t="str">
        <f t="shared" si="108"/>
        <v/>
      </c>
      <c r="AB159" s="490" t="str">
        <f t="shared" si="109"/>
        <v/>
      </c>
      <c r="AC159" s="335" t="str">
        <f t="shared" si="110"/>
        <v/>
      </c>
      <c r="AD159" s="396"/>
      <c r="AE159" s="495">
        <f t="shared" si="111"/>
        <v>0</v>
      </c>
      <c r="AF159" s="495">
        <f t="shared" si="112"/>
        <v>0</v>
      </c>
      <c r="AG159" s="496">
        <v>0</v>
      </c>
      <c r="AH159" s="304">
        <v>0</v>
      </c>
      <c r="AI159" s="304">
        <v>0</v>
      </c>
      <c r="AJ159" s="304">
        <v>0</v>
      </c>
      <c r="AK159" s="304">
        <v>0</v>
      </c>
      <c r="AL159" s="304">
        <v>0</v>
      </c>
      <c r="AM159" s="304">
        <v>0</v>
      </c>
      <c r="AN159" s="304">
        <v>0</v>
      </c>
      <c r="AO159" s="304">
        <v>0</v>
      </c>
      <c r="AP159" s="304">
        <v>0</v>
      </c>
      <c r="AQ159" s="304">
        <v>0</v>
      </c>
      <c r="AR159" s="304">
        <v>0</v>
      </c>
      <c r="AS159" s="497">
        <v>0</v>
      </c>
      <c r="AT159" s="496">
        <f t="shared" si="113"/>
        <v>0</v>
      </c>
      <c r="AU159" s="304">
        <f t="shared" si="114"/>
        <v>0</v>
      </c>
      <c r="AV159" s="304">
        <f t="shared" si="115"/>
        <v>0</v>
      </c>
      <c r="AW159" s="304">
        <f t="shared" si="116"/>
        <v>0</v>
      </c>
      <c r="AX159" s="304">
        <f t="shared" si="117"/>
        <v>0</v>
      </c>
      <c r="AY159" s="304">
        <f t="shared" si="118"/>
        <v>0</v>
      </c>
      <c r="AZ159" s="304">
        <f t="shared" si="119"/>
        <v>0</v>
      </c>
      <c r="BA159" s="304">
        <f t="shared" si="120"/>
        <v>0</v>
      </c>
      <c r="BB159" s="304">
        <f t="shared" si="121"/>
        <v>0</v>
      </c>
      <c r="BC159" s="304">
        <f t="shared" si="122"/>
        <v>0</v>
      </c>
      <c r="BD159" s="304">
        <f t="shared" si="123"/>
        <v>0</v>
      </c>
      <c r="BE159" s="304">
        <f t="shared" si="124"/>
        <v>0</v>
      </c>
      <c r="BF159" s="497">
        <f t="shared" si="125"/>
        <v>0</v>
      </c>
      <c r="BG159" s="496" t="str">
        <f t="shared" si="126"/>
        <v/>
      </c>
      <c r="BH159" s="304" t="str">
        <f t="shared" si="127"/>
        <v/>
      </c>
      <c r="BI159" s="304" t="str">
        <f t="shared" si="128"/>
        <v/>
      </c>
      <c r="BJ159" s="304" t="str">
        <f t="shared" si="129"/>
        <v/>
      </c>
      <c r="BK159" s="304" t="str">
        <f t="shared" si="130"/>
        <v/>
      </c>
      <c r="BL159" s="304" t="str">
        <f t="shared" si="131"/>
        <v/>
      </c>
      <c r="BM159" s="304" t="str">
        <f t="shared" si="132"/>
        <v/>
      </c>
      <c r="BN159" s="304" t="str">
        <f t="shared" si="133"/>
        <v/>
      </c>
      <c r="BO159" s="304" t="str">
        <f t="shared" si="134"/>
        <v/>
      </c>
      <c r="BP159" s="304" t="str">
        <f t="shared" si="135"/>
        <v/>
      </c>
      <c r="BQ159" s="304" t="str">
        <f t="shared" si="136"/>
        <v/>
      </c>
      <c r="BR159" s="304" t="str">
        <f t="shared" si="137"/>
        <v/>
      </c>
      <c r="BS159" s="497" t="str">
        <f t="shared" si="138"/>
        <v/>
      </c>
      <c r="BT159" s="302"/>
      <c r="BU159" s="302"/>
    </row>
    <row r="160" spans="1:73">
      <c r="A160" s="302"/>
      <c r="B160" s="302"/>
      <c r="C160" s="325"/>
      <c r="D160" s="326"/>
      <c r="E160" s="326"/>
      <c r="F160" s="327">
        <f t="shared" si="93"/>
        <v>0</v>
      </c>
      <c r="G160" s="325"/>
      <c r="H160" s="326"/>
      <c r="I160" s="326"/>
      <c r="J160" s="327">
        <f t="shared" si="94"/>
        <v>0</v>
      </c>
      <c r="K160" s="343">
        <f t="shared" si="95"/>
        <v>0</v>
      </c>
      <c r="L160" s="394"/>
      <c r="M160" s="394"/>
      <c r="N160" s="494">
        <f t="shared" si="96"/>
        <v>0</v>
      </c>
      <c r="O160" s="345">
        <v>0</v>
      </c>
      <c r="P160" s="346">
        <f t="shared" si="97"/>
        <v>0</v>
      </c>
      <c r="Q160" s="489" t="str">
        <f t="shared" si="98"/>
        <v/>
      </c>
      <c r="R160" s="490" t="str">
        <f t="shared" si="99"/>
        <v/>
      </c>
      <c r="S160" s="490" t="str">
        <f t="shared" si="100"/>
        <v/>
      </c>
      <c r="T160" s="490" t="str">
        <f t="shared" si="101"/>
        <v/>
      </c>
      <c r="U160" s="490" t="str">
        <f t="shared" si="102"/>
        <v/>
      </c>
      <c r="V160" s="490" t="str">
        <f t="shared" si="103"/>
        <v/>
      </c>
      <c r="W160" s="490" t="str">
        <f t="shared" si="104"/>
        <v/>
      </c>
      <c r="X160" s="490" t="str">
        <f t="shared" si="105"/>
        <v/>
      </c>
      <c r="Y160" s="490" t="str">
        <f t="shared" si="106"/>
        <v/>
      </c>
      <c r="Z160" s="490" t="str">
        <f t="shared" si="107"/>
        <v/>
      </c>
      <c r="AA160" s="490" t="str">
        <f t="shared" si="108"/>
        <v/>
      </c>
      <c r="AB160" s="490" t="str">
        <f t="shared" si="109"/>
        <v/>
      </c>
      <c r="AC160" s="335" t="str">
        <f t="shared" si="110"/>
        <v/>
      </c>
      <c r="AD160" s="396"/>
      <c r="AE160" s="495">
        <f t="shared" si="111"/>
        <v>0</v>
      </c>
      <c r="AF160" s="495">
        <f t="shared" si="112"/>
        <v>0</v>
      </c>
      <c r="AG160" s="496">
        <v>0</v>
      </c>
      <c r="AH160" s="304">
        <v>0</v>
      </c>
      <c r="AI160" s="304">
        <v>0</v>
      </c>
      <c r="AJ160" s="304">
        <v>0</v>
      </c>
      <c r="AK160" s="304">
        <v>0</v>
      </c>
      <c r="AL160" s="304">
        <v>0</v>
      </c>
      <c r="AM160" s="304">
        <v>0</v>
      </c>
      <c r="AN160" s="304">
        <v>0</v>
      </c>
      <c r="AO160" s="304">
        <v>0</v>
      </c>
      <c r="AP160" s="304">
        <v>0</v>
      </c>
      <c r="AQ160" s="304">
        <v>0</v>
      </c>
      <c r="AR160" s="304">
        <v>0</v>
      </c>
      <c r="AS160" s="497">
        <v>0</v>
      </c>
      <c r="AT160" s="496">
        <f t="shared" si="113"/>
        <v>0</v>
      </c>
      <c r="AU160" s="304">
        <f t="shared" si="114"/>
        <v>0</v>
      </c>
      <c r="AV160" s="304">
        <f t="shared" si="115"/>
        <v>0</v>
      </c>
      <c r="AW160" s="304">
        <f t="shared" si="116"/>
        <v>0</v>
      </c>
      <c r="AX160" s="304">
        <f t="shared" si="117"/>
        <v>0</v>
      </c>
      <c r="AY160" s="304">
        <f t="shared" si="118"/>
        <v>0</v>
      </c>
      <c r="AZ160" s="304">
        <f t="shared" si="119"/>
        <v>0</v>
      </c>
      <c r="BA160" s="304">
        <f t="shared" si="120"/>
        <v>0</v>
      </c>
      <c r="BB160" s="304">
        <f t="shared" si="121"/>
        <v>0</v>
      </c>
      <c r="BC160" s="304">
        <f t="shared" si="122"/>
        <v>0</v>
      </c>
      <c r="BD160" s="304">
        <f t="shared" si="123"/>
        <v>0</v>
      </c>
      <c r="BE160" s="304">
        <f t="shared" si="124"/>
        <v>0</v>
      </c>
      <c r="BF160" s="497">
        <f t="shared" si="125"/>
        <v>0</v>
      </c>
      <c r="BG160" s="496" t="str">
        <f t="shared" si="126"/>
        <v/>
      </c>
      <c r="BH160" s="304" t="str">
        <f t="shared" si="127"/>
        <v/>
      </c>
      <c r="BI160" s="304" t="str">
        <f t="shared" si="128"/>
        <v/>
      </c>
      <c r="BJ160" s="304" t="str">
        <f t="shared" si="129"/>
        <v/>
      </c>
      <c r="BK160" s="304" t="str">
        <f t="shared" si="130"/>
        <v/>
      </c>
      <c r="BL160" s="304" t="str">
        <f t="shared" si="131"/>
        <v/>
      </c>
      <c r="BM160" s="304" t="str">
        <f t="shared" si="132"/>
        <v/>
      </c>
      <c r="BN160" s="304" t="str">
        <f t="shared" si="133"/>
        <v/>
      </c>
      <c r="BO160" s="304" t="str">
        <f t="shared" si="134"/>
        <v/>
      </c>
      <c r="BP160" s="304" t="str">
        <f t="shared" si="135"/>
        <v/>
      </c>
      <c r="BQ160" s="304" t="str">
        <f t="shared" si="136"/>
        <v/>
      </c>
      <c r="BR160" s="304" t="str">
        <f t="shared" si="137"/>
        <v/>
      </c>
      <c r="BS160" s="497" t="str">
        <f t="shared" si="138"/>
        <v/>
      </c>
      <c r="BT160" s="302"/>
      <c r="BU160" s="302"/>
    </row>
    <row r="161" spans="1:73">
      <c r="A161" s="302"/>
      <c r="B161" s="302"/>
      <c r="C161" s="325"/>
      <c r="D161" s="326"/>
      <c r="E161" s="326"/>
      <c r="F161" s="327">
        <f t="shared" si="93"/>
        <v>0</v>
      </c>
      <c r="G161" s="325"/>
      <c r="H161" s="326"/>
      <c r="I161" s="326"/>
      <c r="J161" s="327">
        <f t="shared" si="94"/>
        <v>0</v>
      </c>
      <c r="K161" s="343">
        <f t="shared" si="95"/>
        <v>0</v>
      </c>
      <c r="L161" s="394"/>
      <c r="M161" s="394"/>
      <c r="N161" s="494">
        <f t="shared" si="96"/>
        <v>0</v>
      </c>
      <c r="O161" s="345">
        <v>0</v>
      </c>
      <c r="P161" s="346">
        <f t="shared" si="97"/>
        <v>0</v>
      </c>
      <c r="Q161" s="489" t="str">
        <f t="shared" si="98"/>
        <v/>
      </c>
      <c r="R161" s="490" t="str">
        <f t="shared" si="99"/>
        <v/>
      </c>
      <c r="S161" s="490" t="str">
        <f t="shared" si="100"/>
        <v/>
      </c>
      <c r="T161" s="490" t="str">
        <f t="shared" si="101"/>
        <v/>
      </c>
      <c r="U161" s="490" t="str">
        <f t="shared" si="102"/>
        <v/>
      </c>
      <c r="V161" s="490" t="str">
        <f t="shared" si="103"/>
        <v/>
      </c>
      <c r="W161" s="490" t="str">
        <f t="shared" si="104"/>
        <v/>
      </c>
      <c r="X161" s="490" t="str">
        <f t="shared" si="105"/>
        <v/>
      </c>
      <c r="Y161" s="490" t="str">
        <f t="shared" si="106"/>
        <v/>
      </c>
      <c r="Z161" s="490" t="str">
        <f t="shared" si="107"/>
        <v/>
      </c>
      <c r="AA161" s="490" t="str">
        <f t="shared" si="108"/>
        <v/>
      </c>
      <c r="AB161" s="490" t="str">
        <f t="shared" si="109"/>
        <v/>
      </c>
      <c r="AC161" s="335" t="str">
        <f t="shared" si="110"/>
        <v/>
      </c>
      <c r="AD161" s="396"/>
      <c r="AE161" s="495">
        <f t="shared" si="111"/>
        <v>0</v>
      </c>
      <c r="AF161" s="495">
        <f t="shared" si="112"/>
        <v>0</v>
      </c>
      <c r="AG161" s="496">
        <v>0</v>
      </c>
      <c r="AH161" s="304">
        <v>0</v>
      </c>
      <c r="AI161" s="304">
        <v>0</v>
      </c>
      <c r="AJ161" s="304">
        <v>0</v>
      </c>
      <c r="AK161" s="304">
        <v>0</v>
      </c>
      <c r="AL161" s="304">
        <v>0</v>
      </c>
      <c r="AM161" s="304">
        <v>0</v>
      </c>
      <c r="AN161" s="304">
        <v>0</v>
      </c>
      <c r="AO161" s="304">
        <v>0</v>
      </c>
      <c r="AP161" s="304">
        <v>0</v>
      </c>
      <c r="AQ161" s="304">
        <v>0</v>
      </c>
      <c r="AR161" s="304">
        <v>0</v>
      </c>
      <c r="AS161" s="497">
        <v>0</v>
      </c>
      <c r="AT161" s="496">
        <f t="shared" si="113"/>
        <v>0</v>
      </c>
      <c r="AU161" s="304">
        <f t="shared" si="114"/>
        <v>0</v>
      </c>
      <c r="AV161" s="304">
        <f t="shared" si="115"/>
        <v>0</v>
      </c>
      <c r="AW161" s="304">
        <f t="shared" si="116"/>
        <v>0</v>
      </c>
      <c r="AX161" s="304">
        <f t="shared" si="117"/>
        <v>0</v>
      </c>
      <c r="AY161" s="304">
        <f t="shared" si="118"/>
        <v>0</v>
      </c>
      <c r="AZ161" s="304">
        <f t="shared" si="119"/>
        <v>0</v>
      </c>
      <c r="BA161" s="304">
        <f t="shared" si="120"/>
        <v>0</v>
      </c>
      <c r="BB161" s="304">
        <f t="shared" si="121"/>
        <v>0</v>
      </c>
      <c r="BC161" s="304">
        <f t="shared" si="122"/>
        <v>0</v>
      </c>
      <c r="BD161" s="304">
        <f t="shared" si="123"/>
        <v>0</v>
      </c>
      <c r="BE161" s="304">
        <f t="shared" si="124"/>
        <v>0</v>
      </c>
      <c r="BF161" s="497">
        <f t="shared" si="125"/>
        <v>0</v>
      </c>
      <c r="BG161" s="496" t="str">
        <f t="shared" si="126"/>
        <v/>
      </c>
      <c r="BH161" s="304" t="str">
        <f t="shared" si="127"/>
        <v/>
      </c>
      <c r="BI161" s="304" t="str">
        <f t="shared" si="128"/>
        <v/>
      </c>
      <c r="BJ161" s="304" t="str">
        <f t="shared" si="129"/>
        <v/>
      </c>
      <c r="BK161" s="304" t="str">
        <f t="shared" si="130"/>
        <v/>
      </c>
      <c r="BL161" s="304" t="str">
        <f t="shared" si="131"/>
        <v/>
      </c>
      <c r="BM161" s="304" t="str">
        <f t="shared" si="132"/>
        <v/>
      </c>
      <c r="BN161" s="304" t="str">
        <f t="shared" si="133"/>
        <v/>
      </c>
      <c r="BO161" s="304" t="str">
        <f t="shared" si="134"/>
        <v/>
      </c>
      <c r="BP161" s="304" t="str">
        <f t="shared" si="135"/>
        <v/>
      </c>
      <c r="BQ161" s="304" t="str">
        <f t="shared" si="136"/>
        <v/>
      </c>
      <c r="BR161" s="304" t="str">
        <f t="shared" si="137"/>
        <v/>
      </c>
      <c r="BS161" s="497" t="str">
        <f t="shared" si="138"/>
        <v/>
      </c>
      <c r="BT161" s="302"/>
      <c r="BU161" s="302"/>
    </row>
    <row r="162" spans="1:73">
      <c r="A162" s="302"/>
      <c r="B162" s="302"/>
      <c r="C162" s="325"/>
      <c r="D162" s="326"/>
      <c r="E162" s="326"/>
      <c r="F162" s="327">
        <f t="shared" si="93"/>
        <v>0</v>
      </c>
      <c r="G162" s="325"/>
      <c r="H162" s="326"/>
      <c r="I162" s="326"/>
      <c r="J162" s="327">
        <f t="shared" si="94"/>
        <v>0</v>
      </c>
      <c r="K162" s="343">
        <f t="shared" si="95"/>
        <v>0</v>
      </c>
      <c r="L162" s="394"/>
      <c r="M162" s="394"/>
      <c r="N162" s="494">
        <f t="shared" si="96"/>
        <v>0</v>
      </c>
      <c r="O162" s="345">
        <v>0</v>
      </c>
      <c r="P162" s="346">
        <f t="shared" si="97"/>
        <v>0</v>
      </c>
      <c r="Q162" s="489" t="str">
        <f t="shared" si="98"/>
        <v/>
      </c>
      <c r="R162" s="490" t="str">
        <f t="shared" si="99"/>
        <v/>
      </c>
      <c r="S162" s="490" t="str">
        <f t="shared" si="100"/>
        <v/>
      </c>
      <c r="T162" s="490" t="str">
        <f t="shared" si="101"/>
        <v/>
      </c>
      <c r="U162" s="490" t="str">
        <f t="shared" si="102"/>
        <v/>
      </c>
      <c r="V162" s="490" t="str">
        <f t="shared" si="103"/>
        <v/>
      </c>
      <c r="W162" s="490" t="str">
        <f t="shared" si="104"/>
        <v/>
      </c>
      <c r="X162" s="490" t="str">
        <f t="shared" si="105"/>
        <v/>
      </c>
      <c r="Y162" s="490" t="str">
        <f t="shared" si="106"/>
        <v/>
      </c>
      <c r="Z162" s="490" t="str">
        <f t="shared" si="107"/>
        <v/>
      </c>
      <c r="AA162" s="490" t="str">
        <f t="shared" si="108"/>
        <v/>
      </c>
      <c r="AB162" s="490" t="str">
        <f t="shared" si="109"/>
        <v/>
      </c>
      <c r="AC162" s="335" t="str">
        <f t="shared" si="110"/>
        <v/>
      </c>
      <c r="AD162" s="396"/>
      <c r="AE162" s="495">
        <f t="shared" si="111"/>
        <v>0</v>
      </c>
      <c r="AF162" s="495">
        <f t="shared" si="112"/>
        <v>0</v>
      </c>
      <c r="AG162" s="496">
        <v>0</v>
      </c>
      <c r="AH162" s="304">
        <v>0</v>
      </c>
      <c r="AI162" s="304">
        <v>0</v>
      </c>
      <c r="AJ162" s="304">
        <v>0</v>
      </c>
      <c r="AK162" s="304">
        <v>0</v>
      </c>
      <c r="AL162" s="304">
        <v>0</v>
      </c>
      <c r="AM162" s="304">
        <v>0</v>
      </c>
      <c r="AN162" s="304">
        <v>0</v>
      </c>
      <c r="AO162" s="304">
        <v>0</v>
      </c>
      <c r="AP162" s="304">
        <v>0</v>
      </c>
      <c r="AQ162" s="304">
        <v>0</v>
      </c>
      <c r="AR162" s="304">
        <v>0</v>
      </c>
      <c r="AS162" s="497">
        <v>0</v>
      </c>
      <c r="AT162" s="496">
        <f t="shared" si="113"/>
        <v>0</v>
      </c>
      <c r="AU162" s="304">
        <f t="shared" si="114"/>
        <v>0</v>
      </c>
      <c r="AV162" s="304">
        <f t="shared" si="115"/>
        <v>0</v>
      </c>
      <c r="AW162" s="304">
        <f t="shared" si="116"/>
        <v>0</v>
      </c>
      <c r="AX162" s="304">
        <f t="shared" si="117"/>
        <v>0</v>
      </c>
      <c r="AY162" s="304">
        <f t="shared" si="118"/>
        <v>0</v>
      </c>
      <c r="AZ162" s="304">
        <f t="shared" si="119"/>
        <v>0</v>
      </c>
      <c r="BA162" s="304">
        <f t="shared" si="120"/>
        <v>0</v>
      </c>
      <c r="BB162" s="304">
        <f t="shared" si="121"/>
        <v>0</v>
      </c>
      <c r="BC162" s="304">
        <f t="shared" si="122"/>
        <v>0</v>
      </c>
      <c r="BD162" s="304">
        <f t="shared" si="123"/>
        <v>0</v>
      </c>
      <c r="BE162" s="304">
        <f t="shared" si="124"/>
        <v>0</v>
      </c>
      <c r="BF162" s="497">
        <f t="shared" si="125"/>
        <v>0</v>
      </c>
      <c r="BG162" s="496" t="str">
        <f t="shared" si="126"/>
        <v/>
      </c>
      <c r="BH162" s="304" t="str">
        <f t="shared" si="127"/>
        <v/>
      </c>
      <c r="BI162" s="304" t="str">
        <f t="shared" si="128"/>
        <v/>
      </c>
      <c r="BJ162" s="304" t="str">
        <f t="shared" si="129"/>
        <v/>
      </c>
      <c r="BK162" s="304" t="str">
        <f t="shared" si="130"/>
        <v/>
      </c>
      <c r="BL162" s="304" t="str">
        <f t="shared" si="131"/>
        <v/>
      </c>
      <c r="BM162" s="304" t="str">
        <f t="shared" si="132"/>
        <v/>
      </c>
      <c r="BN162" s="304" t="str">
        <f t="shared" si="133"/>
        <v/>
      </c>
      <c r="BO162" s="304" t="str">
        <f t="shared" si="134"/>
        <v/>
      </c>
      <c r="BP162" s="304" t="str">
        <f t="shared" si="135"/>
        <v/>
      </c>
      <c r="BQ162" s="304" t="str">
        <f t="shared" si="136"/>
        <v/>
      </c>
      <c r="BR162" s="304" t="str">
        <f t="shared" si="137"/>
        <v/>
      </c>
      <c r="BS162" s="497" t="str">
        <f t="shared" si="138"/>
        <v/>
      </c>
      <c r="BT162" s="302"/>
      <c r="BU162" s="302"/>
    </row>
    <row r="163" spans="1:73">
      <c r="A163" s="302"/>
      <c r="B163" s="302"/>
      <c r="C163" s="325"/>
      <c r="D163" s="326"/>
      <c r="E163" s="326"/>
      <c r="F163" s="327">
        <f t="shared" si="93"/>
        <v>0</v>
      </c>
      <c r="G163" s="325"/>
      <c r="H163" s="326"/>
      <c r="I163" s="326"/>
      <c r="J163" s="327">
        <f t="shared" si="94"/>
        <v>0</v>
      </c>
      <c r="K163" s="343">
        <f t="shared" si="95"/>
        <v>0</v>
      </c>
      <c r="L163" s="394"/>
      <c r="M163" s="394"/>
      <c r="N163" s="494">
        <f t="shared" si="96"/>
        <v>0</v>
      </c>
      <c r="O163" s="345">
        <v>0</v>
      </c>
      <c r="P163" s="346">
        <f t="shared" si="97"/>
        <v>0</v>
      </c>
      <c r="Q163" s="489" t="str">
        <f t="shared" si="98"/>
        <v/>
      </c>
      <c r="R163" s="490" t="str">
        <f t="shared" si="99"/>
        <v/>
      </c>
      <c r="S163" s="490" t="str">
        <f t="shared" si="100"/>
        <v/>
      </c>
      <c r="T163" s="490" t="str">
        <f t="shared" si="101"/>
        <v/>
      </c>
      <c r="U163" s="490" t="str">
        <f t="shared" si="102"/>
        <v/>
      </c>
      <c r="V163" s="490" t="str">
        <f t="shared" si="103"/>
        <v/>
      </c>
      <c r="W163" s="490" t="str">
        <f t="shared" si="104"/>
        <v/>
      </c>
      <c r="X163" s="490" t="str">
        <f t="shared" si="105"/>
        <v/>
      </c>
      <c r="Y163" s="490" t="str">
        <f t="shared" si="106"/>
        <v/>
      </c>
      <c r="Z163" s="490" t="str">
        <f t="shared" si="107"/>
        <v/>
      </c>
      <c r="AA163" s="490" t="str">
        <f t="shared" si="108"/>
        <v/>
      </c>
      <c r="AB163" s="490" t="str">
        <f t="shared" si="109"/>
        <v/>
      </c>
      <c r="AC163" s="335" t="str">
        <f t="shared" si="110"/>
        <v/>
      </c>
      <c r="AD163" s="396"/>
      <c r="AE163" s="495">
        <f t="shared" si="111"/>
        <v>0</v>
      </c>
      <c r="AF163" s="495">
        <f t="shared" si="112"/>
        <v>0</v>
      </c>
      <c r="AG163" s="496">
        <v>0</v>
      </c>
      <c r="AH163" s="304">
        <v>0</v>
      </c>
      <c r="AI163" s="304">
        <v>0</v>
      </c>
      <c r="AJ163" s="304">
        <v>0</v>
      </c>
      <c r="AK163" s="304">
        <v>0</v>
      </c>
      <c r="AL163" s="304">
        <v>0</v>
      </c>
      <c r="AM163" s="304">
        <v>0</v>
      </c>
      <c r="AN163" s="304">
        <v>0</v>
      </c>
      <c r="AO163" s="304">
        <v>0</v>
      </c>
      <c r="AP163" s="304">
        <v>0</v>
      </c>
      <c r="AQ163" s="304">
        <v>0</v>
      </c>
      <c r="AR163" s="304">
        <v>0</v>
      </c>
      <c r="AS163" s="497">
        <v>0</v>
      </c>
      <c r="AT163" s="496">
        <f t="shared" si="113"/>
        <v>0</v>
      </c>
      <c r="AU163" s="304">
        <f t="shared" si="114"/>
        <v>0</v>
      </c>
      <c r="AV163" s="304">
        <f t="shared" si="115"/>
        <v>0</v>
      </c>
      <c r="AW163" s="304">
        <f t="shared" si="116"/>
        <v>0</v>
      </c>
      <c r="AX163" s="304">
        <f t="shared" si="117"/>
        <v>0</v>
      </c>
      <c r="AY163" s="304">
        <f t="shared" si="118"/>
        <v>0</v>
      </c>
      <c r="AZ163" s="304">
        <f t="shared" si="119"/>
        <v>0</v>
      </c>
      <c r="BA163" s="304">
        <f t="shared" si="120"/>
        <v>0</v>
      </c>
      <c r="BB163" s="304">
        <f t="shared" si="121"/>
        <v>0</v>
      </c>
      <c r="BC163" s="304">
        <f t="shared" si="122"/>
        <v>0</v>
      </c>
      <c r="BD163" s="304">
        <f t="shared" si="123"/>
        <v>0</v>
      </c>
      <c r="BE163" s="304">
        <f t="shared" si="124"/>
        <v>0</v>
      </c>
      <c r="BF163" s="497">
        <f t="shared" si="125"/>
        <v>0</v>
      </c>
      <c r="BG163" s="496" t="str">
        <f t="shared" si="126"/>
        <v/>
      </c>
      <c r="BH163" s="304" t="str">
        <f t="shared" si="127"/>
        <v/>
      </c>
      <c r="BI163" s="304" t="str">
        <f t="shared" si="128"/>
        <v/>
      </c>
      <c r="BJ163" s="304" t="str">
        <f t="shared" si="129"/>
        <v/>
      </c>
      <c r="BK163" s="304" t="str">
        <f t="shared" si="130"/>
        <v/>
      </c>
      <c r="BL163" s="304" t="str">
        <f t="shared" si="131"/>
        <v/>
      </c>
      <c r="BM163" s="304" t="str">
        <f t="shared" si="132"/>
        <v/>
      </c>
      <c r="BN163" s="304" t="str">
        <f t="shared" si="133"/>
        <v/>
      </c>
      <c r="BO163" s="304" t="str">
        <f t="shared" si="134"/>
        <v/>
      </c>
      <c r="BP163" s="304" t="str">
        <f t="shared" si="135"/>
        <v/>
      </c>
      <c r="BQ163" s="304" t="str">
        <f t="shared" si="136"/>
        <v/>
      </c>
      <c r="BR163" s="304" t="str">
        <f t="shared" si="137"/>
        <v/>
      </c>
      <c r="BS163" s="497" t="str">
        <f t="shared" si="138"/>
        <v/>
      </c>
      <c r="BT163" s="302"/>
      <c r="BU163" s="302"/>
    </row>
    <row r="164" spans="1:73">
      <c r="A164" s="302"/>
      <c r="B164" s="302"/>
      <c r="C164" s="325" t="s">
        <v>400</v>
      </c>
      <c r="D164" s="326"/>
      <c r="E164" s="326"/>
      <c r="F164" s="327">
        <f t="shared" si="93"/>
        <v>0</v>
      </c>
      <c r="G164" s="325" t="s">
        <v>400</v>
      </c>
      <c r="H164" s="326"/>
      <c r="I164" s="326"/>
      <c r="J164" s="327">
        <f t="shared" si="94"/>
        <v>0</v>
      </c>
      <c r="K164" s="343">
        <f t="shared" si="95"/>
        <v>0</v>
      </c>
      <c r="L164" s="394"/>
      <c r="M164" s="394"/>
      <c r="N164" s="494">
        <f t="shared" si="96"/>
        <v>0</v>
      </c>
      <c r="O164" s="345">
        <v>0</v>
      </c>
      <c r="P164" s="346">
        <f t="shared" si="97"/>
        <v>0</v>
      </c>
      <c r="Q164" s="489" t="str">
        <f t="shared" si="98"/>
        <v/>
      </c>
      <c r="R164" s="490" t="str">
        <f t="shared" si="99"/>
        <v/>
      </c>
      <c r="S164" s="490" t="str">
        <f t="shared" si="100"/>
        <v/>
      </c>
      <c r="T164" s="490" t="str">
        <f t="shared" si="101"/>
        <v/>
      </c>
      <c r="U164" s="490" t="str">
        <f t="shared" si="102"/>
        <v/>
      </c>
      <c r="V164" s="490" t="str">
        <f t="shared" si="103"/>
        <v/>
      </c>
      <c r="W164" s="490" t="str">
        <f t="shared" si="104"/>
        <v/>
      </c>
      <c r="X164" s="490" t="str">
        <f t="shared" si="105"/>
        <v/>
      </c>
      <c r="Y164" s="490" t="str">
        <f t="shared" si="106"/>
        <v/>
      </c>
      <c r="Z164" s="490" t="str">
        <f t="shared" si="107"/>
        <v/>
      </c>
      <c r="AA164" s="490" t="str">
        <f t="shared" si="108"/>
        <v/>
      </c>
      <c r="AB164" s="490" t="str">
        <f t="shared" si="109"/>
        <v/>
      </c>
      <c r="AC164" s="335" t="str">
        <f t="shared" si="110"/>
        <v/>
      </c>
      <c r="AD164" s="396"/>
      <c r="AE164" s="495">
        <f t="shared" si="111"/>
        <v>0</v>
      </c>
      <c r="AF164" s="495">
        <f t="shared" si="112"/>
        <v>0</v>
      </c>
      <c r="AG164" s="496">
        <v>0</v>
      </c>
      <c r="AH164" s="304">
        <v>0</v>
      </c>
      <c r="AI164" s="304">
        <v>0</v>
      </c>
      <c r="AJ164" s="304">
        <v>0</v>
      </c>
      <c r="AK164" s="304">
        <v>0</v>
      </c>
      <c r="AL164" s="304">
        <v>0</v>
      </c>
      <c r="AM164" s="304">
        <v>0</v>
      </c>
      <c r="AN164" s="304">
        <v>0</v>
      </c>
      <c r="AO164" s="304">
        <v>0</v>
      </c>
      <c r="AP164" s="304">
        <v>0</v>
      </c>
      <c r="AQ164" s="304">
        <v>0</v>
      </c>
      <c r="AR164" s="304">
        <v>0</v>
      </c>
      <c r="AS164" s="497">
        <v>0</v>
      </c>
      <c r="AT164" s="496">
        <f t="shared" si="113"/>
        <v>0</v>
      </c>
      <c r="AU164" s="304">
        <f t="shared" si="114"/>
        <v>0</v>
      </c>
      <c r="AV164" s="304">
        <f t="shared" si="115"/>
        <v>0</v>
      </c>
      <c r="AW164" s="304">
        <f t="shared" si="116"/>
        <v>0</v>
      </c>
      <c r="AX164" s="304">
        <f t="shared" si="117"/>
        <v>0</v>
      </c>
      <c r="AY164" s="304">
        <f t="shared" si="118"/>
        <v>0</v>
      </c>
      <c r="AZ164" s="304">
        <f t="shared" si="119"/>
        <v>0</v>
      </c>
      <c r="BA164" s="304">
        <f t="shared" si="120"/>
        <v>0</v>
      </c>
      <c r="BB164" s="304">
        <f t="shared" si="121"/>
        <v>0</v>
      </c>
      <c r="BC164" s="304">
        <f t="shared" si="122"/>
        <v>0</v>
      </c>
      <c r="BD164" s="304">
        <f t="shared" si="123"/>
        <v>0</v>
      </c>
      <c r="BE164" s="304">
        <f t="shared" si="124"/>
        <v>0</v>
      </c>
      <c r="BF164" s="497">
        <f t="shared" si="125"/>
        <v>0</v>
      </c>
      <c r="BG164" s="496" t="str">
        <f t="shared" si="126"/>
        <v/>
      </c>
      <c r="BH164" s="304" t="str">
        <f t="shared" si="127"/>
        <v/>
      </c>
      <c r="BI164" s="304" t="str">
        <f t="shared" si="128"/>
        <v/>
      </c>
      <c r="BJ164" s="304" t="str">
        <f t="shared" si="129"/>
        <v/>
      </c>
      <c r="BK164" s="304" t="str">
        <f t="shared" si="130"/>
        <v/>
      </c>
      <c r="BL164" s="304" t="str">
        <f t="shared" si="131"/>
        <v/>
      </c>
      <c r="BM164" s="304" t="str">
        <f t="shared" si="132"/>
        <v/>
      </c>
      <c r="BN164" s="304" t="str">
        <f t="shared" si="133"/>
        <v/>
      </c>
      <c r="BO164" s="304" t="str">
        <f t="shared" si="134"/>
        <v/>
      </c>
      <c r="BP164" s="304" t="str">
        <f t="shared" si="135"/>
        <v/>
      </c>
      <c r="BQ164" s="304" t="str">
        <f t="shared" si="136"/>
        <v/>
      </c>
      <c r="BR164" s="304" t="str">
        <f t="shared" si="137"/>
        <v/>
      </c>
      <c r="BS164" s="497" t="str">
        <f t="shared" si="138"/>
        <v/>
      </c>
      <c r="BT164" s="302"/>
      <c r="BU164" s="302"/>
    </row>
    <row r="165" spans="1:73">
      <c r="A165" s="302"/>
      <c r="B165" s="302"/>
      <c r="C165" s="325" t="s">
        <v>400</v>
      </c>
      <c r="D165" s="326"/>
      <c r="E165" s="326"/>
      <c r="F165" s="327">
        <f t="shared" si="93"/>
        <v>0</v>
      </c>
      <c r="G165" s="325" t="s">
        <v>400</v>
      </c>
      <c r="H165" s="326"/>
      <c r="I165" s="326"/>
      <c r="J165" s="327">
        <f t="shared" si="94"/>
        <v>0</v>
      </c>
      <c r="K165" s="343">
        <f t="shared" si="95"/>
        <v>0</v>
      </c>
      <c r="L165" s="394"/>
      <c r="M165" s="394"/>
      <c r="N165" s="494">
        <f t="shared" si="96"/>
        <v>0</v>
      </c>
      <c r="O165" s="345">
        <v>0</v>
      </c>
      <c r="P165" s="346">
        <f t="shared" si="97"/>
        <v>0</v>
      </c>
      <c r="Q165" s="489" t="str">
        <f t="shared" si="98"/>
        <v/>
      </c>
      <c r="R165" s="490" t="str">
        <f t="shared" si="99"/>
        <v/>
      </c>
      <c r="S165" s="490" t="str">
        <f t="shared" si="100"/>
        <v/>
      </c>
      <c r="T165" s="490" t="str">
        <f t="shared" si="101"/>
        <v/>
      </c>
      <c r="U165" s="490" t="str">
        <f t="shared" si="102"/>
        <v/>
      </c>
      <c r="V165" s="490" t="str">
        <f t="shared" si="103"/>
        <v/>
      </c>
      <c r="W165" s="490" t="str">
        <f t="shared" si="104"/>
        <v/>
      </c>
      <c r="X165" s="490" t="str">
        <f t="shared" si="105"/>
        <v/>
      </c>
      <c r="Y165" s="490" t="str">
        <f t="shared" si="106"/>
        <v/>
      </c>
      <c r="Z165" s="490" t="str">
        <f t="shared" si="107"/>
        <v/>
      </c>
      <c r="AA165" s="490" t="str">
        <f t="shared" si="108"/>
        <v/>
      </c>
      <c r="AB165" s="490" t="str">
        <f t="shared" si="109"/>
        <v/>
      </c>
      <c r="AC165" s="335" t="str">
        <f t="shared" si="110"/>
        <v/>
      </c>
      <c r="AD165" s="396"/>
      <c r="AE165" s="495">
        <f t="shared" si="111"/>
        <v>0</v>
      </c>
      <c r="AF165" s="495">
        <f t="shared" si="112"/>
        <v>0</v>
      </c>
      <c r="AG165" s="496">
        <v>0</v>
      </c>
      <c r="AH165" s="304">
        <v>0</v>
      </c>
      <c r="AI165" s="304">
        <v>0</v>
      </c>
      <c r="AJ165" s="304">
        <v>0</v>
      </c>
      <c r="AK165" s="304">
        <v>0</v>
      </c>
      <c r="AL165" s="304">
        <v>0</v>
      </c>
      <c r="AM165" s="304">
        <v>0</v>
      </c>
      <c r="AN165" s="304">
        <v>0</v>
      </c>
      <c r="AO165" s="304">
        <v>0</v>
      </c>
      <c r="AP165" s="304">
        <v>0</v>
      </c>
      <c r="AQ165" s="304">
        <v>0</v>
      </c>
      <c r="AR165" s="304">
        <v>0</v>
      </c>
      <c r="AS165" s="497">
        <v>0</v>
      </c>
      <c r="AT165" s="496">
        <f t="shared" si="113"/>
        <v>0</v>
      </c>
      <c r="AU165" s="304">
        <f t="shared" si="114"/>
        <v>0</v>
      </c>
      <c r="AV165" s="304">
        <f t="shared" si="115"/>
        <v>0</v>
      </c>
      <c r="AW165" s="304">
        <f t="shared" si="116"/>
        <v>0</v>
      </c>
      <c r="AX165" s="304">
        <f t="shared" si="117"/>
        <v>0</v>
      </c>
      <c r="AY165" s="304">
        <f t="shared" si="118"/>
        <v>0</v>
      </c>
      <c r="AZ165" s="304">
        <f t="shared" si="119"/>
        <v>0</v>
      </c>
      <c r="BA165" s="304">
        <f t="shared" si="120"/>
        <v>0</v>
      </c>
      <c r="BB165" s="304">
        <f t="shared" si="121"/>
        <v>0</v>
      </c>
      <c r="BC165" s="304">
        <f t="shared" si="122"/>
        <v>0</v>
      </c>
      <c r="BD165" s="304">
        <f t="shared" si="123"/>
        <v>0</v>
      </c>
      <c r="BE165" s="304">
        <f t="shared" si="124"/>
        <v>0</v>
      </c>
      <c r="BF165" s="497">
        <f t="shared" si="125"/>
        <v>0</v>
      </c>
      <c r="BG165" s="496" t="str">
        <f t="shared" si="126"/>
        <v/>
      </c>
      <c r="BH165" s="304" t="str">
        <f t="shared" si="127"/>
        <v/>
      </c>
      <c r="BI165" s="304" t="str">
        <f t="shared" si="128"/>
        <v/>
      </c>
      <c r="BJ165" s="304" t="str">
        <f t="shared" si="129"/>
        <v/>
      </c>
      <c r="BK165" s="304" t="str">
        <f t="shared" si="130"/>
        <v/>
      </c>
      <c r="BL165" s="304" t="str">
        <f t="shared" si="131"/>
        <v/>
      </c>
      <c r="BM165" s="304" t="str">
        <f t="shared" si="132"/>
        <v/>
      </c>
      <c r="BN165" s="304" t="str">
        <f t="shared" si="133"/>
        <v/>
      </c>
      <c r="BO165" s="304" t="str">
        <f t="shared" si="134"/>
        <v/>
      </c>
      <c r="BP165" s="304" t="str">
        <f t="shared" si="135"/>
        <v/>
      </c>
      <c r="BQ165" s="304" t="str">
        <f t="shared" si="136"/>
        <v/>
      </c>
      <c r="BR165" s="304" t="str">
        <f t="shared" si="137"/>
        <v/>
      </c>
      <c r="BS165" s="497" t="str">
        <f t="shared" si="138"/>
        <v/>
      </c>
      <c r="BT165" s="302"/>
      <c r="BU165" s="302"/>
    </row>
    <row r="166" spans="1:73">
      <c r="A166" s="302"/>
      <c r="B166" s="302"/>
      <c r="C166" s="370" t="s">
        <v>400</v>
      </c>
      <c r="D166" s="498"/>
      <c r="E166" s="498"/>
      <c r="F166" s="350">
        <f t="shared" si="93"/>
        <v>0</v>
      </c>
      <c r="G166" s="370" t="s">
        <v>400</v>
      </c>
      <c r="H166" s="498"/>
      <c r="I166" s="498"/>
      <c r="J166" s="350">
        <f t="shared" si="94"/>
        <v>0</v>
      </c>
      <c r="K166" s="351">
        <f t="shared" si="95"/>
        <v>0</v>
      </c>
      <c r="L166" s="499"/>
      <c r="M166" s="499"/>
      <c r="N166" s="500">
        <f t="shared" si="96"/>
        <v>0</v>
      </c>
      <c r="O166" s="501">
        <v>0</v>
      </c>
      <c r="P166" s="502">
        <f t="shared" si="97"/>
        <v>0</v>
      </c>
      <c r="Q166" s="489" t="str">
        <f t="shared" si="98"/>
        <v/>
      </c>
      <c r="R166" s="490" t="str">
        <f t="shared" si="99"/>
        <v/>
      </c>
      <c r="S166" s="490" t="str">
        <f t="shared" si="100"/>
        <v/>
      </c>
      <c r="T166" s="490" t="str">
        <f t="shared" si="101"/>
        <v/>
      </c>
      <c r="U166" s="490" t="str">
        <f t="shared" si="102"/>
        <v/>
      </c>
      <c r="V166" s="490" t="str">
        <f t="shared" si="103"/>
        <v/>
      </c>
      <c r="W166" s="490" t="str">
        <f t="shared" si="104"/>
        <v/>
      </c>
      <c r="X166" s="490" t="str">
        <f t="shared" si="105"/>
        <v/>
      </c>
      <c r="Y166" s="490" t="str">
        <f t="shared" si="106"/>
        <v/>
      </c>
      <c r="Z166" s="490" t="str">
        <f t="shared" si="107"/>
        <v/>
      </c>
      <c r="AA166" s="490" t="str">
        <f t="shared" si="108"/>
        <v/>
      </c>
      <c r="AB166" s="490" t="str">
        <f t="shared" si="109"/>
        <v/>
      </c>
      <c r="AC166" s="335" t="str">
        <f t="shared" si="110"/>
        <v/>
      </c>
      <c r="AD166" s="396"/>
      <c r="AE166" s="503">
        <f t="shared" si="111"/>
        <v>0</v>
      </c>
      <c r="AF166" s="503">
        <f t="shared" si="112"/>
        <v>0</v>
      </c>
      <c r="AG166" s="504">
        <v>0</v>
      </c>
      <c r="AH166" s="505">
        <v>0</v>
      </c>
      <c r="AI166" s="505">
        <v>0</v>
      </c>
      <c r="AJ166" s="505">
        <v>0</v>
      </c>
      <c r="AK166" s="505">
        <v>0</v>
      </c>
      <c r="AL166" s="505">
        <v>0</v>
      </c>
      <c r="AM166" s="505">
        <v>0</v>
      </c>
      <c r="AN166" s="505">
        <v>0</v>
      </c>
      <c r="AO166" s="505">
        <v>0</v>
      </c>
      <c r="AP166" s="505">
        <v>0</v>
      </c>
      <c r="AQ166" s="505">
        <v>0</v>
      </c>
      <c r="AR166" s="505">
        <v>0</v>
      </c>
      <c r="AS166" s="506">
        <v>0</v>
      </c>
      <c r="AT166" s="504">
        <f t="shared" si="113"/>
        <v>0</v>
      </c>
      <c r="AU166" s="505">
        <f t="shared" si="114"/>
        <v>0</v>
      </c>
      <c r="AV166" s="505">
        <f t="shared" si="115"/>
        <v>0</v>
      </c>
      <c r="AW166" s="505">
        <f t="shared" si="116"/>
        <v>0</v>
      </c>
      <c r="AX166" s="505">
        <f t="shared" si="117"/>
        <v>0</v>
      </c>
      <c r="AY166" s="505">
        <f t="shared" si="118"/>
        <v>0</v>
      </c>
      <c r="AZ166" s="505">
        <f t="shared" si="119"/>
        <v>0</v>
      </c>
      <c r="BA166" s="505">
        <f t="shared" si="120"/>
        <v>0</v>
      </c>
      <c r="BB166" s="505">
        <f t="shared" si="121"/>
        <v>0</v>
      </c>
      <c r="BC166" s="505">
        <f t="shared" si="122"/>
        <v>0</v>
      </c>
      <c r="BD166" s="505">
        <f t="shared" si="123"/>
        <v>0</v>
      </c>
      <c r="BE166" s="505">
        <f t="shared" si="124"/>
        <v>0</v>
      </c>
      <c r="BF166" s="506">
        <f t="shared" si="125"/>
        <v>0</v>
      </c>
      <c r="BG166" s="504" t="str">
        <f t="shared" si="126"/>
        <v/>
      </c>
      <c r="BH166" s="505" t="str">
        <f t="shared" si="127"/>
        <v/>
      </c>
      <c r="BI166" s="505" t="str">
        <f t="shared" si="128"/>
        <v/>
      </c>
      <c r="BJ166" s="505" t="str">
        <f t="shared" si="129"/>
        <v/>
      </c>
      <c r="BK166" s="505" t="str">
        <f t="shared" si="130"/>
        <v/>
      </c>
      <c r="BL166" s="505" t="str">
        <f t="shared" si="131"/>
        <v/>
      </c>
      <c r="BM166" s="505" t="str">
        <f t="shared" si="132"/>
        <v/>
      </c>
      <c r="BN166" s="505" t="str">
        <f t="shared" si="133"/>
        <v/>
      </c>
      <c r="BO166" s="505" t="str">
        <f t="shared" si="134"/>
        <v/>
      </c>
      <c r="BP166" s="505" t="str">
        <f t="shared" si="135"/>
        <v/>
      </c>
      <c r="BQ166" s="505" t="str">
        <f t="shared" si="136"/>
        <v/>
      </c>
      <c r="BR166" s="505" t="str">
        <f t="shared" si="137"/>
        <v/>
      </c>
      <c r="BS166" s="506" t="str">
        <f t="shared" si="138"/>
        <v/>
      </c>
      <c r="BT166" s="302"/>
      <c r="BU166" s="302"/>
    </row>
    <row r="167" spans="1:73" s="342" customFormat="1" ht="20" customHeight="1">
      <c r="A167" s="324"/>
      <c r="B167" s="324"/>
      <c r="C167" s="365"/>
      <c r="D167" s="365"/>
      <c r="E167" s="365"/>
      <c r="F167" s="365"/>
      <c r="G167" s="365"/>
      <c r="H167" s="365"/>
      <c r="I167" s="365"/>
      <c r="J167" s="365"/>
      <c r="K167" s="365"/>
      <c r="L167" s="365"/>
      <c r="M167" s="365"/>
      <c r="N167" s="358">
        <f>SUMPRODUCT(K139:K166,N139:N166)</f>
        <v>22225.25</v>
      </c>
      <c r="O167" s="365"/>
      <c r="P167" s="428" t="s">
        <v>64</v>
      </c>
      <c r="Q167" s="360">
        <f t="shared" ref="Q167:AC167" si="139">SUM(Q139:Q166)</f>
        <v>0</v>
      </c>
      <c r="R167" s="358">
        <f t="shared" si="139"/>
        <v>0</v>
      </c>
      <c r="S167" s="358">
        <f t="shared" si="139"/>
        <v>0</v>
      </c>
      <c r="T167" s="358">
        <f t="shared" si="139"/>
        <v>0</v>
      </c>
      <c r="U167" s="358">
        <f t="shared" si="139"/>
        <v>0</v>
      </c>
      <c r="V167" s="358">
        <f t="shared" si="139"/>
        <v>0</v>
      </c>
      <c r="W167" s="358">
        <f t="shared" si="139"/>
        <v>72325</v>
      </c>
      <c r="X167" s="358">
        <f t="shared" si="139"/>
        <v>0</v>
      </c>
      <c r="Y167" s="358">
        <f t="shared" si="139"/>
        <v>0</v>
      </c>
      <c r="Z167" s="358">
        <f t="shared" si="139"/>
        <v>0</v>
      </c>
      <c r="AA167" s="358">
        <f t="shared" si="139"/>
        <v>0</v>
      </c>
      <c r="AB167" s="358">
        <f t="shared" si="139"/>
        <v>0</v>
      </c>
      <c r="AC167" s="361">
        <f t="shared" si="139"/>
        <v>0</v>
      </c>
      <c r="AD167" s="507">
        <f>ROUND(SUM(Q167:AC167)*112%,-2)</f>
        <v>81000</v>
      </c>
      <c r="AE167" s="364">
        <f>ROUND(SUM(AE139:AE166),0)</f>
        <v>1367</v>
      </c>
      <c r="AF167" s="364">
        <f>ROUND(SUM(AF139:AF166),0)</f>
        <v>228</v>
      </c>
      <c r="AG167" s="365"/>
      <c r="AH167" s="365"/>
      <c r="AI167" s="365"/>
      <c r="AJ167" s="365"/>
      <c r="AK167" s="365"/>
      <c r="AL167" s="365"/>
      <c r="AM167" s="365"/>
      <c r="AN167" s="365"/>
      <c r="AO167" s="365"/>
      <c r="AP167" s="365"/>
      <c r="AQ167" s="365"/>
      <c r="AR167" s="365"/>
      <c r="AS167" s="365"/>
      <c r="AT167" s="365"/>
      <c r="AU167" s="365"/>
      <c r="AV167" s="365"/>
      <c r="AW167" s="365"/>
      <c r="AX167" s="365"/>
      <c r="AY167" s="365"/>
      <c r="AZ167" s="365"/>
      <c r="BA167" s="365"/>
      <c r="BB167" s="365"/>
      <c r="BC167" s="428"/>
      <c r="BD167" s="365"/>
      <c r="BE167" s="428"/>
      <c r="BF167" s="365"/>
      <c r="BG167" s="508">
        <f t="shared" ref="BG167:BS167" si="140">SUM(BG139:BG166)</f>
        <v>0</v>
      </c>
      <c r="BH167" s="434">
        <f t="shared" si="140"/>
        <v>0</v>
      </c>
      <c r="BI167" s="434">
        <f t="shared" si="140"/>
        <v>0</v>
      </c>
      <c r="BJ167" s="434">
        <f t="shared" si="140"/>
        <v>0</v>
      </c>
      <c r="BK167" s="434">
        <f t="shared" si="140"/>
        <v>0</v>
      </c>
      <c r="BL167" s="434">
        <f t="shared" si="140"/>
        <v>0</v>
      </c>
      <c r="BM167" s="434">
        <f t="shared" si="140"/>
        <v>362</v>
      </c>
      <c r="BN167" s="434">
        <f t="shared" si="140"/>
        <v>0</v>
      </c>
      <c r="BO167" s="434">
        <f t="shared" si="140"/>
        <v>0</v>
      </c>
      <c r="BP167" s="434">
        <f t="shared" si="140"/>
        <v>0</v>
      </c>
      <c r="BQ167" s="434">
        <f t="shared" si="140"/>
        <v>0</v>
      </c>
      <c r="BR167" s="434">
        <f t="shared" si="140"/>
        <v>0</v>
      </c>
      <c r="BS167" s="509">
        <f t="shared" si="140"/>
        <v>0</v>
      </c>
      <c r="BT167" s="324"/>
      <c r="BU167" s="324"/>
    </row>
    <row r="168" spans="1:73" s="342" customFormat="1" ht="20" customHeight="1">
      <c r="A168" s="324"/>
      <c r="B168" s="324"/>
      <c r="C168" s="365"/>
      <c r="D168" s="365"/>
      <c r="E168" s="365"/>
      <c r="F168" s="365"/>
      <c r="G168" s="365"/>
      <c r="H168" s="365"/>
      <c r="I168" s="365"/>
      <c r="J168" s="365"/>
      <c r="K168" s="428" t="s">
        <v>65</v>
      </c>
      <c r="L168" s="428">
        <f>SUM(L139:L166)</f>
        <v>362</v>
      </c>
      <c r="M168" s="365"/>
      <c r="N168" s="358">
        <f>N167+AD167</f>
        <v>103225.25</v>
      </c>
      <c r="O168" s="365"/>
      <c r="P168" s="428" t="s">
        <v>66</v>
      </c>
      <c r="Q168" s="370">
        <f t="shared" ref="Q168:AC168" si="141">BG167</f>
        <v>0</v>
      </c>
      <c r="R168" s="371">
        <f t="shared" si="141"/>
        <v>0</v>
      </c>
      <c r="S168" s="371">
        <f t="shared" si="141"/>
        <v>0</v>
      </c>
      <c r="T168" s="371">
        <f t="shared" si="141"/>
        <v>0</v>
      </c>
      <c r="U168" s="371">
        <f t="shared" si="141"/>
        <v>0</v>
      </c>
      <c r="V168" s="371">
        <f t="shared" si="141"/>
        <v>0</v>
      </c>
      <c r="W168" s="371">
        <f t="shared" si="141"/>
        <v>362</v>
      </c>
      <c r="X168" s="371">
        <f t="shared" si="141"/>
        <v>0</v>
      </c>
      <c r="Y168" s="371">
        <f t="shared" si="141"/>
        <v>0</v>
      </c>
      <c r="Z168" s="371">
        <f t="shared" si="141"/>
        <v>0</v>
      </c>
      <c r="AA168" s="371">
        <f t="shared" si="141"/>
        <v>0</v>
      </c>
      <c r="AB168" s="371">
        <f t="shared" si="141"/>
        <v>0</v>
      </c>
      <c r="AC168" s="372">
        <f t="shared" si="141"/>
        <v>0</v>
      </c>
      <c r="AD168" s="371">
        <f>SUM(Q168:AC168)</f>
        <v>362</v>
      </c>
      <c r="AE168" s="324"/>
      <c r="AF168" s="324"/>
      <c r="AG168" s="324"/>
      <c r="AH168" s="324"/>
      <c r="AI168" s="324"/>
      <c r="AJ168" s="324"/>
      <c r="AK168" s="324"/>
      <c r="AL168" s="324"/>
      <c r="AM168" s="324"/>
      <c r="AN168" s="324"/>
      <c r="AO168" s="324"/>
      <c r="AP168" s="324"/>
      <c r="AQ168" s="324"/>
      <c r="AR168" s="324"/>
      <c r="AS168" s="324"/>
      <c r="AT168" s="324"/>
      <c r="AU168" s="324"/>
      <c r="AV168" s="324"/>
      <c r="AW168" s="324"/>
      <c r="AX168" s="324"/>
      <c r="AY168" s="324"/>
      <c r="AZ168" s="324"/>
      <c r="BA168" s="324"/>
      <c r="BB168" s="324"/>
      <c r="BC168" s="324"/>
      <c r="BD168" s="324"/>
      <c r="BE168" s="324"/>
      <c r="BF168" s="324"/>
      <c r="BG168" s="324"/>
      <c r="BH168" s="324"/>
      <c r="BI168" s="324"/>
      <c r="BJ168" s="324"/>
      <c r="BK168" s="324"/>
      <c r="BL168" s="324"/>
      <c r="BM168" s="324"/>
      <c r="BN168" s="324"/>
      <c r="BO168" s="324"/>
      <c r="BP168" s="324"/>
      <c r="BQ168" s="324"/>
      <c r="BR168" s="324"/>
      <c r="BS168" s="324"/>
      <c r="BT168" s="324"/>
      <c r="BU168" s="324"/>
    </row>
    <row r="169" spans="1:73" s="342" customFormat="1" ht="20" customHeight="1">
      <c r="A169" s="305" t="s">
        <v>378</v>
      </c>
      <c r="B169" s="324"/>
      <c r="C169" s="365"/>
      <c r="D169" s="365"/>
      <c r="E169" s="365"/>
      <c r="F169" s="365"/>
      <c r="G169" s="365"/>
      <c r="H169" s="365"/>
      <c r="I169" s="365"/>
      <c r="J169" s="365"/>
      <c r="K169" s="365"/>
      <c r="L169" s="365"/>
      <c r="M169" s="365"/>
      <c r="N169" s="365"/>
      <c r="O169" s="365"/>
      <c r="P169" s="428" t="s">
        <v>67</v>
      </c>
      <c r="Q169" s="510">
        <f t="shared" ref="Q169:AD169" si="142">IF(Q167&gt;0,Q167/Q168,0)</f>
        <v>0</v>
      </c>
      <c r="R169" s="511">
        <f t="shared" si="142"/>
        <v>0</v>
      </c>
      <c r="S169" s="511">
        <f t="shared" si="142"/>
        <v>0</v>
      </c>
      <c r="T169" s="511">
        <f t="shared" si="142"/>
        <v>0</v>
      </c>
      <c r="U169" s="511">
        <f t="shared" si="142"/>
        <v>0</v>
      </c>
      <c r="V169" s="511">
        <f t="shared" si="142"/>
        <v>0</v>
      </c>
      <c r="W169" s="511">
        <f t="shared" si="142"/>
        <v>199.792817679558</v>
      </c>
      <c r="X169" s="511">
        <f t="shared" si="142"/>
        <v>0</v>
      </c>
      <c r="Y169" s="511">
        <f t="shared" si="142"/>
        <v>0</v>
      </c>
      <c r="Z169" s="511">
        <f t="shared" si="142"/>
        <v>0</v>
      </c>
      <c r="AA169" s="511">
        <f t="shared" si="142"/>
        <v>0</v>
      </c>
      <c r="AB169" s="511">
        <f t="shared" si="142"/>
        <v>0</v>
      </c>
      <c r="AC169" s="512">
        <f t="shared" si="142"/>
        <v>0</v>
      </c>
      <c r="AD169" s="511">
        <f t="shared" si="142"/>
        <v>223.75690607734808</v>
      </c>
      <c r="AE169" s="373" t="str">
        <f>IF(AD168=L168,"","CHECK LENGTH")</f>
        <v/>
      </c>
      <c r="AF169" s="324"/>
      <c r="AG169" s="324"/>
      <c r="AH169" s="324"/>
      <c r="AI169" s="324"/>
      <c r="AJ169" s="324"/>
      <c r="AK169" s="324"/>
      <c r="AL169" s="324"/>
      <c r="AM169" s="324"/>
      <c r="AN169" s="324"/>
      <c r="AO169" s="324"/>
      <c r="AP169" s="324"/>
      <c r="AQ169" s="324"/>
      <c r="AR169" s="324"/>
      <c r="AS169" s="324"/>
      <c r="AT169" s="324"/>
      <c r="AU169" s="324"/>
      <c r="AV169" s="324"/>
      <c r="AW169" s="324"/>
      <c r="AX169" s="324"/>
      <c r="AY169" s="324"/>
      <c r="AZ169" s="324"/>
      <c r="BA169" s="324"/>
      <c r="BB169" s="324"/>
      <c r="BC169" s="324"/>
      <c r="BD169" s="324"/>
      <c r="BE169" s="324"/>
      <c r="BF169" s="324"/>
      <c r="BG169" s="324"/>
      <c r="BH169" s="324"/>
      <c r="BI169" s="324"/>
      <c r="BJ169" s="324"/>
      <c r="BK169" s="324"/>
      <c r="BL169" s="324"/>
      <c r="BM169" s="324"/>
      <c r="BN169" s="324"/>
      <c r="BO169" s="324"/>
      <c r="BP169" s="324"/>
      <c r="BQ169" s="324"/>
      <c r="BR169" s="324"/>
      <c r="BS169" s="324"/>
      <c r="BT169" s="324"/>
      <c r="BU169" s="324"/>
    </row>
    <row r="170" spans="1:73" ht="14" thickBot="1">
      <c r="A170" s="308" t="s">
        <v>40</v>
      </c>
      <c r="B170" s="305"/>
      <c r="C170" s="309"/>
      <c r="D170" s="309"/>
      <c r="E170" s="309"/>
      <c r="F170" s="309"/>
      <c r="G170" s="309"/>
      <c r="H170" s="309"/>
      <c r="I170" s="309"/>
      <c r="J170" s="309"/>
      <c r="K170" s="309"/>
      <c r="L170" s="304"/>
      <c r="M170" s="304"/>
      <c r="N170" s="304"/>
      <c r="O170" s="304"/>
      <c r="P170" s="304"/>
      <c r="Q170" s="309">
        <v>150</v>
      </c>
      <c r="R170" s="309">
        <v>225</v>
      </c>
      <c r="S170" s="309">
        <v>300</v>
      </c>
      <c r="T170" s="309">
        <v>375</v>
      </c>
      <c r="U170" s="309">
        <v>450</v>
      </c>
      <c r="V170" s="309">
        <v>525</v>
      </c>
      <c r="W170" s="309">
        <v>600</v>
      </c>
      <c r="X170" s="309">
        <v>675</v>
      </c>
      <c r="Y170" s="309">
        <v>750</v>
      </c>
      <c r="Z170" s="309">
        <v>900</v>
      </c>
      <c r="AA170" s="309">
        <v>1050</v>
      </c>
      <c r="AB170" s="309">
        <v>1200</v>
      </c>
      <c r="AC170" s="309">
        <v>1350</v>
      </c>
      <c r="AD170" s="309" t="b">
        <f>AD168=L168</f>
        <v>1</v>
      </c>
      <c r="AE170" s="302"/>
      <c r="AF170" s="302"/>
      <c r="AG170" s="302"/>
      <c r="AH170" s="302"/>
      <c r="AI170" s="302"/>
      <c r="AJ170" s="302"/>
      <c r="AK170" s="302"/>
      <c r="AL170" s="302"/>
      <c r="AM170" s="302"/>
      <c r="AN170" s="302"/>
      <c r="AO170" s="302"/>
      <c r="AP170" s="302"/>
      <c r="AQ170" s="302"/>
      <c r="AR170" s="302"/>
      <c r="AS170" s="302"/>
      <c r="AT170" s="302"/>
      <c r="AU170" s="302"/>
      <c r="AV170" s="302"/>
      <c r="AW170" s="302"/>
      <c r="AX170" s="302"/>
      <c r="AY170" s="302"/>
      <c r="AZ170" s="302"/>
      <c r="BA170" s="302"/>
      <c r="BB170" s="302"/>
      <c r="BC170" s="302"/>
      <c r="BD170" s="302"/>
      <c r="BE170" s="302"/>
      <c r="BF170" s="302"/>
      <c r="BG170" s="302"/>
      <c r="BH170" s="302"/>
      <c r="BI170" s="302"/>
      <c r="BJ170" s="302"/>
      <c r="BK170" s="302"/>
      <c r="BL170" s="302"/>
      <c r="BM170" s="302"/>
      <c r="BN170" s="302"/>
      <c r="BO170" s="302"/>
      <c r="BP170" s="302"/>
      <c r="BQ170" s="302"/>
      <c r="BR170" s="302"/>
      <c r="BS170" s="302"/>
      <c r="BT170" s="302"/>
      <c r="BU170" s="302"/>
    </row>
    <row r="171" spans="1:73">
      <c r="A171" s="310" t="s">
        <v>68</v>
      </c>
      <c r="B171" s="311"/>
      <c r="C171" s="311" t="s">
        <v>0</v>
      </c>
      <c r="D171" s="311" t="s">
        <v>56</v>
      </c>
      <c r="E171" s="311" t="s">
        <v>57</v>
      </c>
      <c r="F171" s="311" t="s">
        <v>37</v>
      </c>
      <c r="G171" s="311" t="s">
        <v>70</v>
      </c>
      <c r="H171" s="311" t="s">
        <v>71</v>
      </c>
      <c r="I171" s="311" t="s">
        <v>401</v>
      </c>
      <c r="J171" s="312"/>
      <c r="K171" s="313" t="s">
        <v>73</v>
      </c>
      <c r="L171" s="311" t="s">
        <v>51</v>
      </c>
      <c r="M171" s="312" t="s">
        <v>74</v>
      </c>
      <c r="N171" s="302"/>
      <c r="O171" s="302"/>
      <c r="P171" s="302"/>
      <c r="Q171" s="302"/>
      <c r="R171" s="302"/>
      <c r="S171" s="302"/>
      <c r="T171" s="302"/>
      <c r="U171" s="302"/>
      <c r="V171" s="302"/>
      <c r="W171" s="302"/>
      <c r="X171" s="302"/>
      <c r="Y171" s="302"/>
      <c r="Z171" s="302"/>
      <c r="AA171" s="302"/>
      <c r="AB171" s="302"/>
      <c r="AC171" s="302"/>
      <c r="AD171" s="302"/>
      <c r="AE171" s="302"/>
      <c r="AF171" s="1180" t="s">
        <v>75</v>
      </c>
      <c r="AG171" s="1181"/>
      <c r="AH171" s="1181"/>
      <c r="AI171" s="1181"/>
      <c r="AJ171" s="1181"/>
      <c r="AK171" s="1181"/>
      <c r="AL171" s="1181"/>
      <c r="AM171" s="1181"/>
      <c r="AN171" s="1181"/>
      <c r="AO171" s="1182"/>
      <c r="AP171" s="1180" t="s">
        <v>75</v>
      </c>
      <c r="AQ171" s="1181"/>
      <c r="AR171" s="1181"/>
      <c r="AS171" s="1181"/>
      <c r="AT171" s="1181"/>
      <c r="AU171" s="1181"/>
      <c r="AV171" s="1181"/>
      <c r="AW171" s="1181"/>
      <c r="AX171" s="1181"/>
      <c r="AY171" s="1182"/>
      <c r="AZ171" s="302"/>
      <c r="BA171" s="302"/>
      <c r="BB171" s="302"/>
      <c r="BC171" s="302"/>
      <c r="BD171" s="302"/>
      <c r="BE171" s="302"/>
      <c r="BF171" s="302"/>
      <c r="BG171" s="302"/>
      <c r="BH171" s="302"/>
      <c r="BI171" s="302"/>
      <c r="BJ171" s="302"/>
      <c r="BK171" s="302"/>
      <c r="BL171" s="302"/>
      <c r="BM171" s="302"/>
      <c r="BN171" s="302"/>
      <c r="BO171" s="302"/>
      <c r="BP171" s="302"/>
      <c r="BQ171" s="302"/>
      <c r="BR171" s="302"/>
      <c r="BS171" s="302"/>
      <c r="BT171" s="302"/>
      <c r="BU171" s="302"/>
    </row>
    <row r="172" spans="1:73" ht="14" thickBot="1">
      <c r="A172" s="374" t="s">
        <v>76</v>
      </c>
      <c r="B172" s="486"/>
      <c r="C172" s="486"/>
      <c r="D172" s="486"/>
      <c r="E172" s="486"/>
      <c r="F172" s="486"/>
      <c r="G172" s="486"/>
      <c r="H172" s="486"/>
      <c r="I172" s="486" t="s">
        <v>77</v>
      </c>
      <c r="J172" s="375"/>
      <c r="K172" s="322"/>
      <c r="L172" s="486" t="s">
        <v>78</v>
      </c>
      <c r="M172" s="375" t="s">
        <v>78</v>
      </c>
      <c r="N172" s="302"/>
      <c r="O172" s="302"/>
      <c r="P172" s="302"/>
      <c r="Q172" s="302"/>
      <c r="R172" s="302"/>
      <c r="S172" s="302"/>
      <c r="T172" s="302"/>
      <c r="U172" s="302"/>
      <c r="V172" s="302"/>
      <c r="W172" s="302"/>
      <c r="X172" s="302"/>
      <c r="Y172" s="302"/>
      <c r="Z172" s="302"/>
      <c r="AA172" s="302"/>
      <c r="AB172" s="302"/>
      <c r="AC172" s="302"/>
      <c r="AD172" s="302"/>
      <c r="AE172" s="302"/>
      <c r="AF172" s="379">
        <v>900</v>
      </c>
      <c r="AG172" s="380">
        <v>1050</v>
      </c>
      <c r="AH172" s="380">
        <v>1200</v>
      </c>
      <c r="AI172" s="380">
        <v>1350</v>
      </c>
      <c r="AJ172" s="380">
        <v>1500</v>
      </c>
      <c r="AK172" s="380">
        <v>1800</v>
      </c>
      <c r="AL172" s="380">
        <v>2100</v>
      </c>
      <c r="AM172" s="380">
        <v>2400</v>
      </c>
      <c r="AN172" s="380">
        <v>2700</v>
      </c>
      <c r="AO172" s="381">
        <v>3000</v>
      </c>
      <c r="AP172" s="379">
        <v>900</v>
      </c>
      <c r="AQ172" s="380">
        <v>1050</v>
      </c>
      <c r="AR172" s="380">
        <v>1200</v>
      </c>
      <c r="AS172" s="380">
        <v>1350</v>
      </c>
      <c r="AT172" s="380">
        <v>1500</v>
      </c>
      <c r="AU172" s="380">
        <v>1800</v>
      </c>
      <c r="AV172" s="380">
        <v>2100</v>
      </c>
      <c r="AW172" s="380">
        <v>2400</v>
      </c>
      <c r="AX172" s="380">
        <v>2700</v>
      </c>
      <c r="AY172" s="381">
        <v>3000</v>
      </c>
      <c r="AZ172" s="302"/>
      <c r="BA172" s="302"/>
      <c r="BB172" s="302"/>
      <c r="BC172" s="302"/>
      <c r="BD172" s="302"/>
      <c r="BE172" s="302"/>
      <c r="BF172" s="302"/>
      <c r="BG172" s="302"/>
      <c r="BH172" s="302"/>
      <c r="BI172" s="302"/>
      <c r="BJ172" s="302"/>
      <c r="BK172" s="302"/>
      <c r="BL172" s="302"/>
      <c r="BM172" s="302"/>
      <c r="BN172" s="302"/>
      <c r="BO172" s="302"/>
      <c r="BP172" s="302"/>
      <c r="BQ172" s="302"/>
      <c r="BR172" s="302"/>
      <c r="BS172" s="302"/>
      <c r="BT172" s="302"/>
      <c r="BU172" s="302"/>
    </row>
    <row r="173" spans="1:73">
      <c r="A173" s="325"/>
      <c r="B173" s="394"/>
      <c r="C173" s="394" t="s">
        <v>381</v>
      </c>
      <c r="D173" s="326">
        <v>114.9</v>
      </c>
      <c r="E173" s="326">
        <v>112.42100000000001</v>
      </c>
      <c r="F173" s="395">
        <f t="shared" ref="F173:F195" si="143">CEILING(D173-E173,0.25)</f>
        <v>2.5</v>
      </c>
      <c r="G173" s="394">
        <v>1200</v>
      </c>
      <c r="H173" s="396">
        <f t="shared" ref="H173:H195" si="144">IF((SUM(AP173:AY173))&gt;I173,SUM(AP173:AY173),I173)</f>
        <v>1855</v>
      </c>
      <c r="I173" s="396">
        <v>1680</v>
      </c>
      <c r="J173" s="397"/>
      <c r="K173" s="398"/>
      <c r="L173" s="387">
        <f t="shared" ref="L173:L195" si="145">22/7*(G173/2/1000)*(G173/2/1000)*F173</f>
        <v>2.8285714285714287</v>
      </c>
      <c r="M173" s="388">
        <f t="shared" ref="M173:M195" si="146">IF(G173&gt;0,(22/7*(1500/2/1000)*(1500/2/1000)*2),0)</f>
        <v>3.5357142857142856</v>
      </c>
      <c r="N173" s="302"/>
      <c r="O173" s="302"/>
      <c r="P173" s="302"/>
      <c r="Q173" s="302"/>
      <c r="R173" s="302"/>
      <c r="S173" s="302"/>
      <c r="T173" s="302"/>
      <c r="U173" s="302"/>
      <c r="V173" s="302"/>
      <c r="W173" s="302"/>
      <c r="X173" s="302"/>
      <c r="Y173" s="302"/>
      <c r="Z173" s="302"/>
      <c r="AA173" s="302"/>
      <c r="AB173" s="302"/>
      <c r="AC173" s="302"/>
      <c r="AD173" s="302"/>
      <c r="AE173" s="302"/>
      <c r="AF173" s="391">
        <v>0</v>
      </c>
      <c r="AG173" s="392">
        <v>0</v>
      </c>
      <c r="AH173" s="392">
        <v>1855</v>
      </c>
      <c r="AI173" s="392">
        <v>2165</v>
      </c>
      <c r="AJ173" s="392">
        <v>2615</v>
      </c>
      <c r="AK173" s="392">
        <v>3070</v>
      </c>
      <c r="AL173" s="392">
        <v>3736</v>
      </c>
      <c r="AM173" s="392">
        <v>5245</v>
      </c>
      <c r="AN173" s="392">
        <v>5680</v>
      </c>
      <c r="AO173" s="393">
        <v>7629</v>
      </c>
      <c r="AP173" s="391">
        <f t="shared" ref="AP173:AP195" si="147">IF($G173=$AG$50,AF173,0)</f>
        <v>0</v>
      </c>
      <c r="AQ173" s="392">
        <f t="shared" ref="AQ173:AQ195" si="148">IF($G173=$AH$50,AG173,0)</f>
        <v>0</v>
      </c>
      <c r="AR173" s="392">
        <f t="shared" ref="AR173:AR195" si="149">IF($G173=$AI$50,AH173,0)</f>
        <v>1855</v>
      </c>
      <c r="AS173" s="392">
        <f t="shared" ref="AS173:AS195" si="150">IF($G173=$AJ$50,AI173,0)</f>
        <v>0</v>
      </c>
      <c r="AT173" s="392">
        <f t="shared" ref="AT173:AT195" si="151">IF($G173=$AK$50,AJ173,0)</f>
        <v>0</v>
      </c>
      <c r="AU173" s="392">
        <f t="shared" ref="AU173:AU195" si="152">IF($G173=$AL$50,AK173,0)</f>
        <v>0</v>
      </c>
      <c r="AV173" s="392">
        <f t="shared" ref="AV173:AV195" si="153">IF($G173=$AM$50,AL173,0)</f>
        <v>0</v>
      </c>
      <c r="AW173" s="392">
        <f t="shared" ref="AW173:AW195" si="154">IF($G173=$AN$50,AM173,0)</f>
        <v>0</v>
      </c>
      <c r="AX173" s="392">
        <f t="shared" ref="AX173:AX195" si="155">IF($G173=$AO$50,AN173,0)</f>
        <v>0</v>
      </c>
      <c r="AY173" s="393">
        <f t="shared" ref="AY173:AY195" si="156">IF($G173=$AP$50,AO173,0)</f>
        <v>0</v>
      </c>
      <c r="AZ173" s="302"/>
      <c r="BA173" s="302"/>
      <c r="BB173" s="302"/>
      <c r="BC173" s="302"/>
      <c r="BD173" s="302"/>
      <c r="BE173" s="302"/>
      <c r="BF173" s="302"/>
      <c r="BG173" s="302"/>
      <c r="BH173" s="302"/>
      <c r="BI173" s="302"/>
      <c r="BJ173" s="302"/>
      <c r="BK173" s="302"/>
      <c r="BL173" s="302"/>
      <c r="BM173" s="302"/>
      <c r="BN173" s="302"/>
      <c r="BO173" s="302"/>
      <c r="BP173" s="302"/>
      <c r="BQ173" s="302"/>
      <c r="BR173" s="302"/>
      <c r="BS173" s="302"/>
      <c r="BT173" s="302"/>
      <c r="BU173" s="302"/>
    </row>
    <row r="174" spans="1:73">
      <c r="A174" s="325"/>
      <c r="B174" s="394"/>
      <c r="C174" s="394" t="s">
        <v>382</v>
      </c>
      <c r="D174" s="326">
        <v>115.669</v>
      </c>
      <c r="E174" s="326">
        <v>112.22199999999999</v>
      </c>
      <c r="F174" s="395">
        <f t="shared" si="143"/>
        <v>3.5</v>
      </c>
      <c r="G174" s="394">
        <v>1350</v>
      </c>
      <c r="H174" s="396">
        <f t="shared" si="144"/>
        <v>2590</v>
      </c>
      <c r="I174" s="396">
        <v>1680</v>
      </c>
      <c r="J174" s="397"/>
      <c r="K174" s="398"/>
      <c r="L174" s="399">
        <f t="shared" si="145"/>
        <v>5.0118749999999999</v>
      </c>
      <c r="M174" s="400">
        <f t="shared" si="146"/>
        <v>3.5357142857142856</v>
      </c>
      <c r="N174" s="302"/>
      <c r="O174" s="302"/>
      <c r="P174" s="302"/>
      <c r="Q174" s="302"/>
      <c r="R174" s="302"/>
      <c r="S174" s="302"/>
      <c r="T174" s="302"/>
      <c r="U174" s="302"/>
      <c r="V174" s="302"/>
      <c r="W174" s="302"/>
      <c r="X174" s="302"/>
      <c r="Y174" s="302"/>
      <c r="Z174" s="302"/>
      <c r="AA174" s="302"/>
      <c r="AB174" s="302"/>
      <c r="AC174" s="302"/>
      <c r="AD174" s="302"/>
      <c r="AE174" s="302"/>
      <c r="AF174" s="391">
        <v>0</v>
      </c>
      <c r="AG174" s="392">
        <v>0</v>
      </c>
      <c r="AH174" s="392">
        <v>2370</v>
      </c>
      <c r="AI174" s="392">
        <v>2590</v>
      </c>
      <c r="AJ174" s="392">
        <v>3370</v>
      </c>
      <c r="AK174" s="392">
        <v>4168</v>
      </c>
      <c r="AL174" s="392">
        <v>5072</v>
      </c>
      <c r="AM174" s="392">
        <v>6409</v>
      </c>
      <c r="AN174" s="392">
        <v>7770</v>
      </c>
      <c r="AO174" s="393">
        <v>10436</v>
      </c>
      <c r="AP174" s="391">
        <f t="shared" si="147"/>
        <v>0</v>
      </c>
      <c r="AQ174" s="392">
        <f t="shared" si="148"/>
        <v>0</v>
      </c>
      <c r="AR174" s="392">
        <f t="shared" si="149"/>
        <v>0</v>
      </c>
      <c r="AS174" s="392">
        <f t="shared" si="150"/>
        <v>2590</v>
      </c>
      <c r="AT174" s="392">
        <f t="shared" si="151"/>
        <v>0</v>
      </c>
      <c r="AU174" s="392">
        <f t="shared" si="152"/>
        <v>0</v>
      </c>
      <c r="AV174" s="392">
        <f t="shared" si="153"/>
        <v>0</v>
      </c>
      <c r="AW174" s="392">
        <f t="shared" si="154"/>
        <v>0</v>
      </c>
      <c r="AX174" s="392">
        <f t="shared" si="155"/>
        <v>0</v>
      </c>
      <c r="AY174" s="393">
        <f t="shared" si="156"/>
        <v>0</v>
      </c>
      <c r="AZ174" s="302"/>
      <c r="BA174" s="302"/>
      <c r="BB174" s="302"/>
      <c r="BC174" s="302"/>
      <c r="BD174" s="302"/>
      <c r="BE174" s="302"/>
      <c r="BF174" s="302"/>
      <c r="BG174" s="302"/>
      <c r="BH174" s="302"/>
      <c r="BI174" s="302"/>
      <c r="BJ174" s="302"/>
      <c r="BK174" s="302"/>
      <c r="BL174" s="302"/>
      <c r="BM174" s="302"/>
      <c r="BN174" s="302"/>
      <c r="BO174" s="302"/>
      <c r="BP174" s="302"/>
      <c r="BQ174" s="302"/>
      <c r="BR174" s="302"/>
      <c r="BS174" s="302"/>
      <c r="BT174" s="302"/>
      <c r="BU174" s="302"/>
    </row>
    <row r="175" spans="1:73">
      <c r="A175" s="325"/>
      <c r="B175" s="394"/>
      <c r="C175" s="394" t="s">
        <v>383</v>
      </c>
      <c r="D175" s="326">
        <v>116.41500000000001</v>
      </c>
      <c r="E175" s="326">
        <v>112.003</v>
      </c>
      <c r="F175" s="395">
        <f t="shared" si="143"/>
        <v>4.5</v>
      </c>
      <c r="G175" s="394">
        <v>1500</v>
      </c>
      <c r="H175" s="396">
        <f t="shared" si="144"/>
        <v>5544</v>
      </c>
      <c r="I175" s="396">
        <v>1680</v>
      </c>
      <c r="J175" s="397"/>
      <c r="K175" s="398"/>
      <c r="L175" s="399">
        <f t="shared" si="145"/>
        <v>7.9553571428571423</v>
      </c>
      <c r="M175" s="400">
        <f t="shared" si="146"/>
        <v>3.5357142857142856</v>
      </c>
      <c r="N175" s="302"/>
      <c r="O175" s="302"/>
      <c r="P175" s="302"/>
      <c r="Q175" s="302"/>
      <c r="R175" s="302"/>
      <c r="S175" s="302"/>
      <c r="T175" s="302"/>
      <c r="U175" s="302"/>
      <c r="V175" s="302"/>
      <c r="W175" s="302"/>
      <c r="X175" s="302"/>
      <c r="Y175" s="302"/>
      <c r="Z175" s="302"/>
      <c r="AA175" s="302"/>
      <c r="AB175" s="302"/>
      <c r="AC175" s="302"/>
      <c r="AD175" s="302"/>
      <c r="AE175" s="302"/>
      <c r="AF175" s="391">
        <v>0</v>
      </c>
      <c r="AG175" s="392">
        <v>0</v>
      </c>
      <c r="AH175" s="392">
        <v>4380</v>
      </c>
      <c r="AI175" s="392">
        <v>4773</v>
      </c>
      <c r="AJ175" s="392">
        <v>5544</v>
      </c>
      <c r="AK175" s="392">
        <v>6030</v>
      </c>
      <c r="AL175" s="392">
        <v>7340</v>
      </c>
      <c r="AM175" s="392">
        <v>8680</v>
      </c>
      <c r="AN175" s="392">
        <v>8870</v>
      </c>
      <c r="AO175" s="393">
        <v>9270</v>
      </c>
      <c r="AP175" s="391">
        <f t="shared" si="147"/>
        <v>0</v>
      </c>
      <c r="AQ175" s="392">
        <f t="shared" si="148"/>
        <v>0</v>
      </c>
      <c r="AR175" s="392">
        <f t="shared" si="149"/>
        <v>0</v>
      </c>
      <c r="AS175" s="392">
        <f t="shared" si="150"/>
        <v>0</v>
      </c>
      <c r="AT175" s="392">
        <f t="shared" si="151"/>
        <v>5544</v>
      </c>
      <c r="AU175" s="392">
        <f t="shared" si="152"/>
        <v>0</v>
      </c>
      <c r="AV175" s="392">
        <f t="shared" si="153"/>
        <v>0</v>
      </c>
      <c r="AW175" s="392">
        <f t="shared" si="154"/>
        <v>0</v>
      </c>
      <c r="AX175" s="392">
        <f t="shared" si="155"/>
        <v>0</v>
      </c>
      <c r="AY175" s="393">
        <f t="shared" si="156"/>
        <v>0</v>
      </c>
      <c r="AZ175" s="302"/>
      <c r="BA175" s="302"/>
      <c r="BB175" s="302"/>
      <c r="BC175" s="302"/>
      <c r="BD175" s="302"/>
      <c r="BE175" s="302"/>
      <c r="BF175" s="302"/>
      <c r="BG175" s="302"/>
      <c r="BH175" s="302"/>
      <c r="BI175" s="302"/>
      <c r="BJ175" s="302"/>
      <c r="BK175" s="302"/>
      <c r="BL175" s="302"/>
      <c r="BM175" s="302"/>
      <c r="BN175" s="302"/>
      <c r="BO175" s="302"/>
      <c r="BP175" s="302"/>
      <c r="BQ175" s="302"/>
      <c r="BR175" s="302"/>
      <c r="BS175" s="302"/>
      <c r="BT175" s="302"/>
      <c r="BU175" s="302"/>
    </row>
    <row r="176" spans="1:73">
      <c r="A176" s="325"/>
      <c r="B176" s="394"/>
      <c r="C176" s="394" t="s">
        <v>384</v>
      </c>
      <c r="D176" s="326">
        <v>117.059</v>
      </c>
      <c r="E176" s="326">
        <v>111.81699999999999</v>
      </c>
      <c r="F176" s="395">
        <f t="shared" si="143"/>
        <v>5.25</v>
      </c>
      <c r="G176" s="394">
        <v>1500</v>
      </c>
      <c r="H176" s="396">
        <f t="shared" si="144"/>
        <v>6125</v>
      </c>
      <c r="I176" s="396">
        <v>1680</v>
      </c>
      <c r="J176" s="397"/>
      <c r="K176" s="398"/>
      <c r="L176" s="399">
        <f t="shared" si="145"/>
        <v>9.28125</v>
      </c>
      <c r="M176" s="400">
        <f t="shared" si="146"/>
        <v>3.5357142857142856</v>
      </c>
      <c r="N176" s="302"/>
      <c r="O176" s="302"/>
      <c r="P176" s="302"/>
      <c r="Q176" s="302"/>
      <c r="R176" s="302"/>
      <c r="S176" s="302"/>
      <c r="T176" s="302"/>
      <c r="U176" s="302"/>
      <c r="V176" s="302"/>
      <c r="W176" s="302"/>
      <c r="X176" s="302"/>
      <c r="Y176" s="302"/>
      <c r="Z176" s="302"/>
      <c r="AA176" s="302"/>
      <c r="AB176" s="302"/>
      <c r="AC176" s="302"/>
      <c r="AD176" s="302"/>
      <c r="AE176" s="302"/>
      <c r="AF176" s="391">
        <v>0</v>
      </c>
      <c r="AG176" s="392">
        <v>0</v>
      </c>
      <c r="AH176" s="392">
        <v>5065</v>
      </c>
      <c r="AI176" s="392">
        <v>5690</v>
      </c>
      <c r="AJ176" s="392">
        <v>6125</v>
      </c>
      <c r="AK176" s="392">
        <v>6900</v>
      </c>
      <c r="AL176" s="392">
        <v>8518</v>
      </c>
      <c r="AM176" s="392">
        <v>10500</v>
      </c>
      <c r="AN176" s="392">
        <v>10715</v>
      </c>
      <c r="AO176" s="393">
        <v>11715</v>
      </c>
      <c r="AP176" s="391">
        <f t="shared" si="147"/>
        <v>0</v>
      </c>
      <c r="AQ176" s="392">
        <f t="shared" si="148"/>
        <v>0</v>
      </c>
      <c r="AR176" s="392">
        <f t="shared" si="149"/>
        <v>0</v>
      </c>
      <c r="AS176" s="392">
        <f t="shared" si="150"/>
        <v>0</v>
      </c>
      <c r="AT176" s="392">
        <f t="shared" si="151"/>
        <v>6125</v>
      </c>
      <c r="AU176" s="392">
        <f t="shared" si="152"/>
        <v>0</v>
      </c>
      <c r="AV176" s="392">
        <f t="shared" si="153"/>
        <v>0</v>
      </c>
      <c r="AW176" s="392">
        <f t="shared" si="154"/>
        <v>0</v>
      </c>
      <c r="AX176" s="392">
        <f t="shared" si="155"/>
        <v>0</v>
      </c>
      <c r="AY176" s="393">
        <f t="shared" si="156"/>
        <v>0</v>
      </c>
      <c r="AZ176" s="302"/>
      <c r="BA176" s="302"/>
      <c r="BB176" s="302"/>
      <c r="BC176" s="302"/>
      <c r="BD176" s="302"/>
      <c r="BE176" s="302"/>
      <c r="BF176" s="302"/>
      <c r="BG176" s="302"/>
      <c r="BH176" s="302"/>
      <c r="BI176" s="302"/>
      <c r="BJ176" s="302"/>
      <c r="BK176" s="302"/>
      <c r="BL176" s="302"/>
      <c r="BM176" s="302"/>
      <c r="BN176" s="302"/>
      <c r="BO176" s="302"/>
      <c r="BP176" s="302"/>
      <c r="BQ176" s="302"/>
      <c r="BR176" s="302"/>
      <c r="BS176" s="302"/>
      <c r="BT176" s="302"/>
      <c r="BU176" s="302"/>
    </row>
    <row r="177" spans="1:73">
      <c r="A177" s="325"/>
      <c r="B177" s="394"/>
      <c r="C177" s="394" t="s">
        <v>385</v>
      </c>
      <c r="D177" s="326">
        <v>117.059</v>
      </c>
      <c r="E177" s="326">
        <v>111.723</v>
      </c>
      <c r="F177" s="395">
        <f t="shared" si="143"/>
        <v>5.5</v>
      </c>
      <c r="G177" s="394">
        <v>1500</v>
      </c>
      <c r="H177" s="396">
        <f t="shared" si="144"/>
        <v>6325</v>
      </c>
      <c r="I177" s="396">
        <v>1680</v>
      </c>
      <c r="J177" s="397"/>
      <c r="K177" s="398"/>
      <c r="L177" s="399">
        <f t="shared" si="145"/>
        <v>9.7232142857142847</v>
      </c>
      <c r="M177" s="400">
        <f t="shared" si="146"/>
        <v>3.5357142857142856</v>
      </c>
      <c r="N177" s="302"/>
      <c r="O177" s="302"/>
      <c r="P177" s="302"/>
      <c r="Q177" s="302"/>
      <c r="R177" s="302"/>
      <c r="S177" s="302"/>
      <c r="T177" s="302"/>
      <c r="U177" s="302"/>
      <c r="V177" s="302"/>
      <c r="W177" s="302"/>
      <c r="X177" s="302"/>
      <c r="Y177" s="302"/>
      <c r="Z177" s="302"/>
      <c r="AA177" s="302"/>
      <c r="AB177" s="302"/>
      <c r="AC177" s="302"/>
      <c r="AD177" s="302"/>
      <c r="AE177" s="302"/>
      <c r="AF177" s="391">
        <v>0</v>
      </c>
      <c r="AG177" s="392">
        <v>0</v>
      </c>
      <c r="AH177" s="392">
        <v>5235</v>
      </c>
      <c r="AI177" s="392">
        <v>6176</v>
      </c>
      <c r="AJ177" s="392">
        <v>6325</v>
      </c>
      <c r="AK177" s="392">
        <v>7190</v>
      </c>
      <c r="AL177" s="392">
        <v>8876</v>
      </c>
      <c r="AM177" s="392">
        <v>10941.300774829773</v>
      </c>
      <c r="AN177" s="392">
        <v>11365</v>
      </c>
      <c r="AO177" s="393">
        <v>12365</v>
      </c>
      <c r="AP177" s="391">
        <f t="shared" si="147"/>
        <v>0</v>
      </c>
      <c r="AQ177" s="392">
        <f t="shared" si="148"/>
        <v>0</v>
      </c>
      <c r="AR177" s="392">
        <f t="shared" si="149"/>
        <v>0</v>
      </c>
      <c r="AS177" s="392">
        <f t="shared" si="150"/>
        <v>0</v>
      </c>
      <c r="AT177" s="392">
        <f t="shared" si="151"/>
        <v>6325</v>
      </c>
      <c r="AU177" s="392">
        <f t="shared" si="152"/>
        <v>0</v>
      </c>
      <c r="AV177" s="392">
        <f t="shared" si="153"/>
        <v>0</v>
      </c>
      <c r="AW177" s="392">
        <f t="shared" si="154"/>
        <v>0</v>
      </c>
      <c r="AX177" s="392">
        <f t="shared" si="155"/>
        <v>0</v>
      </c>
      <c r="AY177" s="393">
        <f t="shared" si="156"/>
        <v>0</v>
      </c>
      <c r="AZ177" s="302"/>
      <c r="BA177" s="302"/>
      <c r="BB177" s="302"/>
      <c r="BC177" s="302"/>
      <c r="BD177" s="302"/>
      <c r="BE177" s="302"/>
      <c r="BF177" s="302"/>
      <c r="BG177" s="302"/>
      <c r="BH177" s="302"/>
      <c r="BI177" s="302"/>
      <c r="BJ177" s="302"/>
      <c r="BK177" s="302"/>
      <c r="BL177" s="302"/>
      <c r="BM177" s="302"/>
      <c r="BN177" s="302"/>
      <c r="BO177" s="302"/>
      <c r="BP177" s="302"/>
      <c r="BQ177" s="302"/>
      <c r="BR177" s="302"/>
      <c r="BS177" s="302"/>
      <c r="BT177" s="302"/>
      <c r="BU177" s="302"/>
    </row>
    <row r="178" spans="1:73">
      <c r="A178" s="325"/>
      <c r="B178" s="394"/>
      <c r="C178" s="394" t="s">
        <v>386</v>
      </c>
      <c r="D178" s="326">
        <v>118</v>
      </c>
      <c r="E178" s="326">
        <v>111.489</v>
      </c>
      <c r="F178" s="395">
        <f t="shared" si="143"/>
        <v>6.75</v>
      </c>
      <c r="G178" s="394">
        <v>1500</v>
      </c>
      <c r="H178" s="396">
        <f t="shared" si="144"/>
        <v>7225</v>
      </c>
      <c r="I178" s="396">
        <v>1680</v>
      </c>
      <c r="J178" s="397"/>
      <c r="K178" s="398"/>
      <c r="L178" s="399">
        <f t="shared" si="145"/>
        <v>11.933035714285714</v>
      </c>
      <c r="M178" s="400">
        <f t="shared" si="146"/>
        <v>3.5357142857142856</v>
      </c>
      <c r="N178" s="302"/>
      <c r="O178" s="302"/>
      <c r="P178" s="302"/>
      <c r="Q178" s="302"/>
      <c r="R178" s="302"/>
      <c r="S178" s="302"/>
      <c r="T178" s="302"/>
      <c r="U178" s="302"/>
      <c r="V178" s="302"/>
      <c r="W178" s="302"/>
      <c r="X178" s="302"/>
      <c r="Y178" s="302"/>
      <c r="Z178" s="302"/>
      <c r="AA178" s="302"/>
      <c r="AB178" s="302"/>
      <c r="AC178" s="302"/>
      <c r="AD178" s="302"/>
      <c r="AE178" s="302"/>
      <c r="AF178" s="391">
        <v>0</v>
      </c>
      <c r="AG178" s="392">
        <v>0</v>
      </c>
      <c r="AH178" s="392">
        <v>0</v>
      </c>
      <c r="AI178" s="392">
        <v>0</v>
      </c>
      <c r="AJ178" s="392">
        <v>7225</v>
      </c>
      <c r="AK178" s="392">
        <v>8640</v>
      </c>
      <c r="AL178" s="392">
        <v>10666</v>
      </c>
      <c r="AM178" s="392">
        <v>13147.804648978634</v>
      </c>
      <c r="AN178" s="392">
        <v>14615</v>
      </c>
      <c r="AO178" s="393">
        <v>0</v>
      </c>
      <c r="AP178" s="391">
        <f t="shared" si="147"/>
        <v>0</v>
      </c>
      <c r="AQ178" s="392">
        <f t="shared" si="148"/>
        <v>0</v>
      </c>
      <c r="AR178" s="392">
        <f t="shared" si="149"/>
        <v>0</v>
      </c>
      <c r="AS178" s="392">
        <f t="shared" si="150"/>
        <v>0</v>
      </c>
      <c r="AT178" s="392">
        <f t="shared" si="151"/>
        <v>7225</v>
      </c>
      <c r="AU178" s="392">
        <f t="shared" si="152"/>
        <v>0</v>
      </c>
      <c r="AV178" s="392">
        <f t="shared" si="153"/>
        <v>0</v>
      </c>
      <c r="AW178" s="392">
        <f t="shared" si="154"/>
        <v>0</v>
      </c>
      <c r="AX178" s="392">
        <f t="shared" si="155"/>
        <v>0</v>
      </c>
      <c r="AY178" s="393">
        <f t="shared" si="156"/>
        <v>0</v>
      </c>
      <c r="AZ178" s="302"/>
      <c r="BA178" s="302"/>
      <c r="BB178" s="302"/>
      <c r="BC178" s="302"/>
      <c r="BD178" s="302"/>
      <c r="BE178" s="302"/>
      <c r="BF178" s="302"/>
      <c r="BG178" s="302"/>
      <c r="BH178" s="302"/>
      <c r="BI178" s="302"/>
      <c r="BJ178" s="302"/>
      <c r="BK178" s="302"/>
      <c r="BL178" s="302"/>
      <c r="BM178" s="302"/>
      <c r="BN178" s="302"/>
      <c r="BO178" s="302"/>
      <c r="BP178" s="302"/>
      <c r="BQ178" s="302"/>
      <c r="BR178" s="302"/>
      <c r="BS178" s="302"/>
      <c r="BT178" s="302"/>
      <c r="BU178" s="302"/>
    </row>
    <row r="179" spans="1:73">
      <c r="A179" s="325"/>
      <c r="B179" s="394"/>
      <c r="C179" s="394" t="s">
        <v>387</v>
      </c>
      <c r="D179" s="326">
        <v>118</v>
      </c>
      <c r="E179" s="326">
        <v>111.339</v>
      </c>
      <c r="F179" s="395">
        <f t="shared" si="143"/>
        <v>6.75</v>
      </c>
      <c r="G179" s="394">
        <v>1500</v>
      </c>
      <c r="H179" s="396">
        <f t="shared" si="144"/>
        <v>7225</v>
      </c>
      <c r="I179" s="396">
        <v>1680</v>
      </c>
      <c r="J179" s="397"/>
      <c r="K179" s="398"/>
      <c r="L179" s="399">
        <f t="shared" si="145"/>
        <v>11.933035714285714</v>
      </c>
      <c r="M179" s="400">
        <f t="shared" si="146"/>
        <v>3.5357142857142856</v>
      </c>
      <c r="N179" s="302"/>
      <c r="O179" s="302"/>
      <c r="P179" s="302"/>
      <c r="Q179" s="302"/>
      <c r="R179" s="302"/>
      <c r="S179" s="302"/>
      <c r="T179" s="302"/>
      <c r="U179" s="302"/>
      <c r="V179" s="302"/>
      <c r="W179" s="302"/>
      <c r="X179" s="302"/>
      <c r="Y179" s="302"/>
      <c r="Z179" s="302"/>
      <c r="AA179" s="302"/>
      <c r="AB179" s="302"/>
      <c r="AC179" s="302"/>
      <c r="AD179" s="302"/>
      <c r="AE179" s="302"/>
      <c r="AF179" s="391">
        <v>0</v>
      </c>
      <c r="AG179" s="392">
        <v>0</v>
      </c>
      <c r="AH179" s="392">
        <v>0</v>
      </c>
      <c r="AI179" s="392">
        <v>0</v>
      </c>
      <c r="AJ179" s="392">
        <v>7225</v>
      </c>
      <c r="AK179" s="392">
        <v>8640</v>
      </c>
      <c r="AL179" s="392">
        <v>10666</v>
      </c>
      <c r="AM179" s="392">
        <v>13147.804648978634</v>
      </c>
      <c r="AN179" s="392">
        <v>14615</v>
      </c>
      <c r="AO179" s="393">
        <v>0</v>
      </c>
      <c r="AP179" s="391">
        <f t="shared" si="147"/>
        <v>0</v>
      </c>
      <c r="AQ179" s="392">
        <f t="shared" si="148"/>
        <v>0</v>
      </c>
      <c r="AR179" s="392">
        <f t="shared" si="149"/>
        <v>0</v>
      </c>
      <c r="AS179" s="392">
        <f t="shared" si="150"/>
        <v>0</v>
      </c>
      <c r="AT179" s="392">
        <f t="shared" si="151"/>
        <v>7225</v>
      </c>
      <c r="AU179" s="392">
        <f t="shared" si="152"/>
        <v>0</v>
      </c>
      <c r="AV179" s="392">
        <f t="shared" si="153"/>
        <v>0</v>
      </c>
      <c r="AW179" s="392">
        <f t="shared" si="154"/>
        <v>0</v>
      </c>
      <c r="AX179" s="392">
        <f t="shared" si="155"/>
        <v>0</v>
      </c>
      <c r="AY179" s="393">
        <f t="shared" si="156"/>
        <v>0</v>
      </c>
      <c r="AZ179" s="302"/>
      <c r="BA179" s="302"/>
      <c r="BB179" s="302"/>
      <c r="BC179" s="302"/>
      <c r="BD179" s="302"/>
      <c r="BE179" s="302"/>
      <c r="BF179" s="302"/>
      <c r="BG179" s="302"/>
      <c r="BH179" s="302"/>
      <c r="BI179" s="302"/>
      <c r="BJ179" s="302"/>
      <c r="BK179" s="302"/>
      <c r="BL179" s="302"/>
      <c r="BM179" s="302"/>
      <c r="BN179" s="302"/>
      <c r="BO179" s="302"/>
      <c r="BP179" s="302"/>
      <c r="BQ179" s="302"/>
      <c r="BR179" s="302"/>
      <c r="BS179" s="302"/>
      <c r="BT179" s="302"/>
      <c r="BU179" s="302"/>
    </row>
    <row r="180" spans="1:73">
      <c r="A180" s="325"/>
      <c r="B180" s="394"/>
      <c r="C180" s="394" t="s">
        <v>388</v>
      </c>
      <c r="D180" s="326">
        <v>114.75</v>
      </c>
      <c r="E180" s="326">
        <v>111.16500000000001</v>
      </c>
      <c r="F180" s="395">
        <f t="shared" si="143"/>
        <v>3.75</v>
      </c>
      <c r="G180" s="394">
        <v>1350</v>
      </c>
      <c r="H180" s="396">
        <f t="shared" si="144"/>
        <v>2690</v>
      </c>
      <c r="I180" s="396">
        <v>1680</v>
      </c>
      <c r="J180" s="397"/>
      <c r="K180" s="398"/>
      <c r="L180" s="399">
        <f t="shared" si="145"/>
        <v>5.3698660714285715</v>
      </c>
      <c r="M180" s="400">
        <f t="shared" si="146"/>
        <v>3.5357142857142856</v>
      </c>
      <c r="N180" s="302" t="s">
        <v>402</v>
      </c>
      <c r="O180" s="302"/>
      <c r="P180" s="302"/>
      <c r="Q180" s="302"/>
      <c r="R180" s="302"/>
      <c r="S180" s="302"/>
      <c r="T180" s="302"/>
      <c r="U180" s="302"/>
      <c r="V180" s="302"/>
      <c r="W180" s="302"/>
      <c r="X180" s="302"/>
      <c r="Y180" s="302"/>
      <c r="Z180" s="302"/>
      <c r="AA180" s="302"/>
      <c r="AB180" s="302"/>
      <c r="AC180" s="302"/>
      <c r="AD180" s="302"/>
      <c r="AE180" s="302"/>
      <c r="AF180" s="391">
        <v>0</v>
      </c>
      <c r="AG180" s="392">
        <v>0</v>
      </c>
      <c r="AH180" s="392">
        <v>2485</v>
      </c>
      <c r="AI180" s="392">
        <v>2690</v>
      </c>
      <c r="AJ180" s="392">
        <v>3505</v>
      </c>
      <c r="AK180" s="392">
        <v>4335</v>
      </c>
      <c r="AL180" s="392">
        <v>5276</v>
      </c>
      <c r="AM180" s="392">
        <v>6700</v>
      </c>
      <c r="AN180" s="392">
        <v>8015</v>
      </c>
      <c r="AO180" s="393">
        <v>8745</v>
      </c>
      <c r="AP180" s="391">
        <f t="shared" si="147"/>
        <v>0</v>
      </c>
      <c r="AQ180" s="392">
        <f t="shared" si="148"/>
        <v>0</v>
      </c>
      <c r="AR180" s="392">
        <f t="shared" si="149"/>
        <v>0</v>
      </c>
      <c r="AS180" s="392">
        <f t="shared" si="150"/>
        <v>2690</v>
      </c>
      <c r="AT180" s="392">
        <f t="shared" si="151"/>
        <v>0</v>
      </c>
      <c r="AU180" s="392">
        <f t="shared" si="152"/>
        <v>0</v>
      </c>
      <c r="AV180" s="392">
        <f t="shared" si="153"/>
        <v>0</v>
      </c>
      <c r="AW180" s="392">
        <f t="shared" si="154"/>
        <v>0</v>
      </c>
      <c r="AX180" s="392">
        <f t="shared" si="155"/>
        <v>0</v>
      </c>
      <c r="AY180" s="393">
        <f t="shared" si="156"/>
        <v>0</v>
      </c>
      <c r="AZ180" s="302"/>
      <c r="BA180" s="302"/>
      <c r="BB180" s="302"/>
      <c r="BC180" s="302"/>
      <c r="BD180" s="302"/>
      <c r="BE180" s="302"/>
      <c r="BF180" s="302"/>
      <c r="BG180" s="302"/>
      <c r="BH180" s="302"/>
      <c r="BI180" s="302"/>
      <c r="BJ180" s="302"/>
      <c r="BK180" s="302"/>
      <c r="BL180" s="302"/>
      <c r="BM180" s="302"/>
      <c r="BN180" s="302"/>
      <c r="BO180" s="302"/>
      <c r="BP180" s="302"/>
      <c r="BQ180" s="302"/>
      <c r="BR180" s="302"/>
      <c r="BS180" s="302"/>
      <c r="BT180" s="302"/>
      <c r="BU180" s="302"/>
    </row>
    <row r="181" spans="1:73">
      <c r="A181" s="325"/>
      <c r="B181" s="394"/>
      <c r="C181" s="394" t="s">
        <v>403</v>
      </c>
      <c r="D181" s="326"/>
      <c r="E181" s="326"/>
      <c r="F181" s="395">
        <f t="shared" si="143"/>
        <v>0</v>
      </c>
      <c r="G181" s="394"/>
      <c r="H181" s="396">
        <f t="shared" si="144"/>
        <v>0</v>
      </c>
      <c r="I181" s="396">
        <v>0</v>
      </c>
      <c r="J181" s="397"/>
      <c r="K181" s="398"/>
      <c r="L181" s="399">
        <f t="shared" si="145"/>
        <v>0</v>
      </c>
      <c r="M181" s="400">
        <f t="shared" si="146"/>
        <v>0</v>
      </c>
      <c r="N181" s="302"/>
      <c r="O181" s="302"/>
      <c r="P181" s="302"/>
      <c r="Q181" s="302"/>
      <c r="R181" s="302"/>
      <c r="S181" s="302"/>
      <c r="T181" s="302"/>
      <c r="U181" s="302"/>
      <c r="V181" s="302"/>
      <c r="W181" s="302"/>
      <c r="X181" s="302"/>
      <c r="Y181" s="302"/>
      <c r="Z181" s="302"/>
      <c r="AA181" s="302"/>
      <c r="AB181" s="302"/>
      <c r="AC181" s="302"/>
      <c r="AD181" s="302"/>
      <c r="AE181" s="302"/>
      <c r="AF181" s="391">
        <v>0</v>
      </c>
      <c r="AG181" s="392">
        <v>0</v>
      </c>
      <c r="AH181" s="392">
        <v>0</v>
      </c>
      <c r="AI181" s="392">
        <v>0</v>
      </c>
      <c r="AJ181" s="392">
        <v>0</v>
      </c>
      <c r="AK181" s="392">
        <v>0</v>
      </c>
      <c r="AL181" s="392">
        <v>0</v>
      </c>
      <c r="AM181" s="392">
        <v>0</v>
      </c>
      <c r="AN181" s="392">
        <v>0</v>
      </c>
      <c r="AO181" s="393">
        <v>0</v>
      </c>
      <c r="AP181" s="391">
        <f t="shared" si="147"/>
        <v>0</v>
      </c>
      <c r="AQ181" s="392">
        <f t="shared" si="148"/>
        <v>0</v>
      </c>
      <c r="AR181" s="392">
        <f t="shared" si="149"/>
        <v>0</v>
      </c>
      <c r="AS181" s="392">
        <f t="shared" si="150"/>
        <v>0</v>
      </c>
      <c r="AT181" s="392">
        <f t="shared" si="151"/>
        <v>0</v>
      </c>
      <c r="AU181" s="392">
        <f t="shared" si="152"/>
        <v>0</v>
      </c>
      <c r="AV181" s="392">
        <f t="shared" si="153"/>
        <v>0</v>
      </c>
      <c r="AW181" s="392">
        <f t="shared" si="154"/>
        <v>0</v>
      </c>
      <c r="AX181" s="392">
        <f t="shared" si="155"/>
        <v>0</v>
      </c>
      <c r="AY181" s="393">
        <f t="shared" si="156"/>
        <v>0</v>
      </c>
      <c r="AZ181" s="302"/>
      <c r="BA181" s="302"/>
      <c r="BB181" s="302"/>
      <c r="BC181" s="302"/>
      <c r="BD181" s="302"/>
      <c r="BE181" s="302"/>
      <c r="BF181" s="302"/>
      <c r="BG181" s="302"/>
      <c r="BH181" s="302"/>
      <c r="BI181" s="302"/>
      <c r="BJ181" s="302"/>
      <c r="BK181" s="302"/>
      <c r="BL181" s="302"/>
      <c r="BM181" s="302"/>
      <c r="BN181" s="302"/>
      <c r="BO181" s="302"/>
      <c r="BP181" s="302"/>
      <c r="BQ181" s="302"/>
      <c r="BR181" s="302"/>
      <c r="BS181" s="302"/>
      <c r="BT181" s="302"/>
      <c r="BU181" s="302"/>
    </row>
    <row r="182" spans="1:73">
      <c r="A182" s="325"/>
      <c r="B182" s="394"/>
      <c r="C182" s="394" t="s">
        <v>389</v>
      </c>
      <c r="D182" s="326">
        <v>116.15600000000001</v>
      </c>
      <c r="E182" s="326">
        <v>114.456</v>
      </c>
      <c r="F182" s="395">
        <f t="shared" si="143"/>
        <v>1.75</v>
      </c>
      <c r="G182" s="394">
        <v>1200</v>
      </c>
      <c r="H182" s="396">
        <f t="shared" si="144"/>
        <v>1680</v>
      </c>
      <c r="I182" s="396">
        <v>1680</v>
      </c>
      <c r="J182" s="397"/>
      <c r="K182" s="398"/>
      <c r="L182" s="399">
        <f t="shared" si="145"/>
        <v>1.98</v>
      </c>
      <c r="M182" s="400">
        <f t="shared" si="146"/>
        <v>3.5357142857142856</v>
      </c>
      <c r="N182" s="302"/>
      <c r="O182" s="302"/>
      <c r="P182" s="302"/>
      <c r="Q182" s="302"/>
      <c r="R182" s="302"/>
      <c r="S182" s="302"/>
      <c r="T182" s="302"/>
      <c r="U182" s="302"/>
      <c r="V182" s="302"/>
      <c r="W182" s="302"/>
      <c r="X182" s="302"/>
      <c r="Y182" s="302"/>
      <c r="Z182" s="302"/>
      <c r="AA182" s="302"/>
      <c r="AB182" s="302"/>
      <c r="AC182" s="302"/>
      <c r="AD182" s="302"/>
      <c r="AE182" s="302"/>
      <c r="AF182" s="391">
        <v>0</v>
      </c>
      <c r="AG182" s="392">
        <v>0</v>
      </c>
      <c r="AH182" s="392">
        <v>1460</v>
      </c>
      <c r="AI182" s="392">
        <v>1950</v>
      </c>
      <c r="AJ182" s="392">
        <v>2375</v>
      </c>
      <c r="AK182" s="392">
        <v>2628</v>
      </c>
      <c r="AL182" s="392">
        <v>3198</v>
      </c>
      <c r="AM182" s="392">
        <v>4490</v>
      </c>
      <c r="AN182" s="392">
        <v>4815</v>
      </c>
      <c r="AO182" s="393">
        <v>6468</v>
      </c>
      <c r="AP182" s="391">
        <f t="shared" si="147"/>
        <v>0</v>
      </c>
      <c r="AQ182" s="392">
        <f t="shared" si="148"/>
        <v>0</v>
      </c>
      <c r="AR182" s="392">
        <f t="shared" si="149"/>
        <v>1460</v>
      </c>
      <c r="AS182" s="392">
        <f t="shared" si="150"/>
        <v>0</v>
      </c>
      <c r="AT182" s="392">
        <f t="shared" si="151"/>
        <v>0</v>
      </c>
      <c r="AU182" s="392">
        <f t="shared" si="152"/>
        <v>0</v>
      </c>
      <c r="AV182" s="392">
        <f t="shared" si="153"/>
        <v>0</v>
      </c>
      <c r="AW182" s="392">
        <f t="shared" si="154"/>
        <v>0</v>
      </c>
      <c r="AX182" s="392">
        <f t="shared" si="155"/>
        <v>0</v>
      </c>
      <c r="AY182" s="393">
        <f t="shared" si="156"/>
        <v>0</v>
      </c>
      <c r="AZ182" s="302"/>
      <c r="BA182" s="302"/>
      <c r="BB182" s="302"/>
      <c r="BC182" s="302"/>
      <c r="BD182" s="302"/>
      <c r="BE182" s="302"/>
      <c r="BF182" s="302"/>
      <c r="BG182" s="302"/>
      <c r="BH182" s="302"/>
      <c r="BI182" s="302"/>
      <c r="BJ182" s="302"/>
      <c r="BK182" s="302"/>
      <c r="BL182" s="302"/>
      <c r="BM182" s="302"/>
      <c r="BN182" s="302"/>
      <c r="BO182" s="302"/>
      <c r="BP182" s="302"/>
      <c r="BQ182" s="302"/>
      <c r="BR182" s="302"/>
      <c r="BS182" s="302"/>
      <c r="BT182" s="302"/>
      <c r="BU182" s="302"/>
    </row>
    <row r="183" spans="1:73">
      <c r="A183" s="325"/>
      <c r="B183" s="394"/>
      <c r="C183" s="394" t="s">
        <v>390</v>
      </c>
      <c r="D183" s="326">
        <v>115.557</v>
      </c>
      <c r="E183" s="326">
        <v>113.392</v>
      </c>
      <c r="F183" s="395">
        <f t="shared" si="143"/>
        <v>2.25</v>
      </c>
      <c r="G183" s="394">
        <v>1200</v>
      </c>
      <c r="H183" s="396">
        <f t="shared" si="144"/>
        <v>1770</v>
      </c>
      <c r="I183" s="396">
        <v>1680</v>
      </c>
      <c r="J183" s="397"/>
      <c r="K183" s="398"/>
      <c r="L183" s="399">
        <f t="shared" si="145"/>
        <v>2.5457142857142858</v>
      </c>
      <c r="M183" s="400">
        <f t="shared" si="146"/>
        <v>3.5357142857142856</v>
      </c>
      <c r="N183" s="302"/>
      <c r="O183" s="302"/>
      <c r="P183" s="302"/>
      <c r="Q183" s="302"/>
      <c r="R183" s="302"/>
      <c r="S183" s="302"/>
      <c r="T183" s="302"/>
      <c r="U183" s="302"/>
      <c r="V183" s="302"/>
      <c r="W183" s="302"/>
      <c r="X183" s="302"/>
      <c r="Y183" s="302"/>
      <c r="Z183" s="302"/>
      <c r="AA183" s="302"/>
      <c r="AB183" s="302"/>
      <c r="AC183" s="302"/>
      <c r="AD183" s="302"/>
      <c r="AE183" s="302"/>
      <c r="AF183" s="391">
        <v>0</v>
      </c>
      <c r="AG183" s="392">
        <v>0</v>
      </c>
      <c r="AH183" s="392">
        <v>1770</v>
      </c>
      <c r="AI183" s="392">
        <v>2065</v>
      </c>
      <c r="AJ183" s="392">
        <v>2580</v>
      </c>
      <c r="AK183" s="392">
        <v>2828</v>
      </c>
      <c r="AL183" s="392">
        <v>3442</v>
      </c>
      <c r="AM183" s="392">
        <v>4833</v>
      </c>
      <c r="AN183" s="392">
        <v>5415</v>
      </c>
      <c r="AO183" s="393">
        <v>7273</v>
      </c>
      <c r="AP183" s="391">
        <f t="shared" si="147"/>
        <v>0</v>
      </c>
      <c r="AQ183" s="392">
        <f t="shared" si="148"/>
        <v>0</v>
      </c>
      <c r="AR183" s="392">
        <f t="shared" si="149"/>
        <v>1770</v>
      </c>
      <c r="AS183" s="392">
        <f t="shared" si="150"/>
        <v>0</v>
      </c>
      <c r="AT183" s="392">
        <f t="shared" si="151"/>
        <v>0</v>
      </c>
      <c r="AU183" s="392">
        <f t="shared" si="152"/>
        <v>0</v>
      </c>
      <c r="AV183" s="392">
        <f t="shared" si="153"/>
        <v>0</v>
      </c>
      <c r="AW183" s="392">
        <f t="shared" si="154"/>
        <v>0</v>
      </c>
      <c r="AX183" s="392">
        <f t="shared" si="155"/>
        <v>0</v>
      </c>
      <c r="AY183" s="393">
        <f t="shared" si="156"/>
        <v>0</v>
      </c>
      <c r="AZ183" s="302"/>
      <c r="BA183" s="302"/>
      <c r="BB183" s="302"/>
      <c r="BC183" s="302"/>
      <c r="BD183" s="302"/>
      <c r="BE183" s="302"/>
      <c r="BF183" s="302"/>
      <c r="BG183" s="302"/>
      <c r="BH183" s="302"/>
      <c r="BI183" s="302"/>
      <c r="BJ183" s="302"/>
      <c r="BK183" s="302"/>
      <c r="BL183" s="302"/>
      <c r="BM183" s="302"/>
      <c r="BN183" s="302"/>
      <c r="BO183" s="302"/>
      <c r="BP183" s="302"/>
      <c r="BQ183" s="302"/>
      <c r="BR183" s="302"/>
      <c r="BS183" s="302"/>
      <c r="BT183" s="302"/>
      <c r="BU183" s="302"/>
    </row>
    <row r="184" spans="1:73">
      <c r="A184" s="325"/>
      <c r="B184" s="394"/>
      <c r="C184" s="394" t="s">
        <v>391</v>
      </c>
      <c r="D184" s="326">
        <v>114.485</v>
      </c>
      <c r="E184" s="326">
        <v>112.164</v>
      </c>
      <c r="F184" s="395">
        <f t="shared" si="143"/>
        <v>2.5</v>
      </c>
      <c r="G184" s="394">
        <v>1200</v>
      </c>
      <c r="H184" s="396">
        <f t="shared" si="144"/>
        <v>1855</v>
      </c>
      <c r="I184" s="396">
        <v>1680</v>
      </c>
      <c r="J184" s="397"/>
      <c r="K184" s="398"/>
      <c r="L184" s="399">
        <f t="shared" si="145"/>
        <v>2.8285714285714287</v>
      </c>
      <c r="M184" s="400">
        <f t="shared" si="146"/>
        <v>3.5357142857142856</v>
      </c>
      <c r="N184" s="302"/>
      <c r="O184" s="302"/>
      <c r="P184" s="302"/>
      <c r="Q184" s="302"/>
      <c r="R184" s="302"/>
      <c r="S184" s="302"/>
      <c r="T184" s="302"/>
      <c r="U184" s="302"/>
      <c r="V184" s="302"/>
      <c r="W184" s="302"/>
      <c r="X184" s="302"/>
      <c r="Y184" s="302"/>
      <c r="Z184" s="302"/>
      <c r="AA184" s="302"/>
      <c r="AB184" s="302"/>
      <c r="AC184" s="302"/>
      <c r="AD184" s="302"/>
      <c r="AE184" s="302"/>
      <c r="AF184" s="391">
        <v>0</v>
      </c>
      <c r="AG184" s="392">
        <v>0</v>
      </c>
      <c r="AH184" s="392">
        <v>1855</v>
      </c>
      <c r="AI184" s="392">
        <v>2165</v>
      </c>
      <c r="AJ184" s="392">
        <v>2615</v>
      </c>
      <c r="AK184" s="392">
        <v>3070</v>
      </c>
      <c r="AL184" s="392">
        <v>3736</v>
      </c>
      <c r="AM184" s="392">
        <v>5245</v>
      </c>
      <c r="AN184" s="392">
        <v>5680</v>
      </c>
      <c r="AO184" s="393">
        <v>7629</v>
      </c>
      <c r="AP184" s="391">
        <f t="shared" si="147"/>
        <v>0</v>
      </c>
      <c r="AQ184" s="392">
        <f t="shared" si="148"/>
        <v>0</v>
      </c>
      <c r="AR184" s="392">
        <f t="shared" si="149"/>
        <v>1855</v>
      </c>
      <c r="AS184" s="392">
        <f t="shared" si="150"/>
        <v>0</v>
      </c>
      <c r="AT184" s="392">
        <f t="shared" si="151"/>
        <v>0</v>
      </c>
      <c r="AU184" s="392">
        <f t="shared" si="152"/>
        <v>0</v>
      </c>
      <c r="AV184" s="392">
        <f t="shared" si="153"/>
        <v>0</v>
      </c>
      <c r="AW184" s="392">
        <f t="shared" si="154"/>
        <v>0</v>
      </c>
      <c r="AX184" s="392">
        <f t="shared" si="155"/>
        <v>0</v>
      </c>
      <c r="AY184" s="393">
        <f t="shared" si="156"/>
        <v>0</v>
      </c>
      <c r="AZ184" s="302"/>
      <c r="BA184" s="302"/>
      <c r="BB184" s="302"/>
      <c r="BC184" s="302"/>
      <c r="BD184" s="302"/>
      <c r="BE184" s="302"/>
      <c r="BF184" s="302"/>
      <c r="BG184" s="302"/>
      <c r="BH184" s="302"/>
      <c r="BI184" s="302"/>
      <c r="BJ184" s="302"/>
      <c r="BK184" s="302"/>
      <c r="BL184" s="302"/>
      <c r="BM184" s="302"/>
      <c r="BN184" s="302"/>
      <c r="BO184" s="302"/>
      <c r="BP184" s="302"/>
      <c r="BQ184" s="302"/>
      <c r="BR184" s="302"/>
      <c r="BS184" s="302"/>
      <c r="BT184" s="302"/>
      <c r="BU184" s="302"/>
    </row>
    <row r="185" spans="1:73">
      <c r="A185" s="325"/>
      <c r="B185" s="394"/>
      <c r="C185" s="394" t="s">
        <v>392</v>
      </c>
      <c r="D185" s="326">
        <v>113.4</v>
      </c>
      <c r="E185" s="326">
        <v>109</v>
      </c>
      <c r="F185" s="395">
        <f t="shared" si="143"/>
        <v>4.5</v>
      </c>
      <c r="G185" s="394">
        <v>1500</v>
      </c>
      <c r="H185" s="396">
        <f t="shared" si="144"/>
        <v>5544</v>
      </c>
      <c r="I185" s="396">
        <v>1680</v>
      </c>
      <c r="J185" s="397"/>
      <c r="K185" s="398"/>
      <c r="L185" s="399">
        <f t="shared" si="145"/>
        <v>7.9553571428571423</v>
      </c>
      <c r="M185" s="400">
        <f t="shared" si="146"/>
        <v>3.5357142857142856</v>
      </c>
      <c r="N185" s="302"/>
      <c r="O185" s="302"/>
      <c r="P185" s="302"/>
      <c r="Q185" s="302"/>
      <c r="R185" s="302"/>
      <c r="S185" s="302"/>
      <c r="T185" s="302"/>
      <c r="U185" s="302"/>
      <c r="V185" s="302"/>
      <c r="W185" s="302"/>
      <c r="X185" s="302"/>
      <c r="Y185" s="302"/>
      <c r="Z185" s="302"/>
      <c r="AA185" s="302"/>
      <c r="AB185" s="302"/>
      <c r="AC185" s="302"/>
      <c r="AD185" s="302"/>
      <c r="AE185" s="302"/>
      <c r="AF185" s="391">
        <v>0</v>
      </c>
      <c r="AG185" s="392">
        <v>0</v>
      </c>
      <c r="AH185" s="392">
        <v>4380</v>
      </c>
      <c r="AI185" s="392">
        <v>4773</v>
      </c>
      <c r="AJ185" s="392">
        <v>5544</v>
      </c>
      <c r="AK185" s="392">
        <v>6030</v>
      </c>
      <c r="AL185" s="392">
        <v>7340</v>
      </c>
      <c r="AM185" s="392">
        <v>8680</v>
      </c>
      <c r="AN185" s="392">
        <v>8870</v>
      </c>
      <c r="AO185" s="393">
        <v>9270</v>
      </c>
      <c r="AP185" s="391">
        <f t="shared" si="147"/>
        <v>0</v>
      </c>
      <c r="AQ185" s="392">
        <f t="shared" si="148"/>
        <v>0</v>
      </c>
      <c r="AR185" s="392">
        <f t="shared" si="149"/>
        <v>0</v>
      </c>
      <c r="AS185" s="392">
        <f t="shared" si="150"/>
        <v>0</v>
      </c>
      <c r="AT185" s="392">
        <f t="shared" si="151"/>
        <v>5544</v>
      </c>
      <c r="AU185" s="392">
        <f t="shared" si="152"/>
        <v>0</v>
      </c>
      <c r="AV185" s="392">
        <f t="shared" si="153"/>
        <v>0</v>
      </c>
      <c r="AW185" s="392">
        <f t="shared" si="154"/>
        <v>0</v>
      </c>
      <c r="AX185" s="392">
        <f t="shared" si="155"/>
        <v>0</v>
      </c>
      <c r="AY185" s="393">
        <f t="shared" si="156"/>
        <v>0</v>
      </c>
      <c r="AZ185" s="302"/>
      <c r="BA185" s="302"/>
      <c r="BB185" s="302"/>
      <c r="BC185" s="302"/>
      <c r="BD185" s="302"/>
      <c r="BE185" s="302"/>
      <c r="BF185" s="302"/>
      <c r="BG185" s="302"/>
      <c r="BH185" s="302"/>
      <c r="BI185" s="302"/>
      <c r="BJ185" s="302"/>
      <c r="BK185" s="302"/>
      <c r="BL185" s="302"/>
      <c r="BM185" s="302"/>
      <c r="BN185" s="302"/>
      <c r="BO185" s="302"/>
      <c r="BP185" s="302"/>
      <c r="BQ185" s="302"/>
      <c r="BR185" s="302"/>
      <c r="BS185" s="302"/>
      <c r="BT185" s="302"/>
      <c r="BU185" s="302"/>
    </row>
    <row r="186" spans="1:73">
      <c r="A186" s="325"/>
      <c r="B186" s="394"/>
      <c r="C186" s="394" t="s">
        <v>393</v>
      </c>
      <c r="D186" s="326">
        <v>112.7</v>
      </c>
      <c r="E186" s="326">
        <v>107.5</v>
      </c>
      <c r="F186" s="395">
        <f t="shared" si="143"/>
        <v>5.25</v>
      </c>
      <c r="G186" s="394">
        <v>1500</v>
      </c>
      <c r="H186" s="396">
        <f t="shared" si="144"/>
        <v>6125</v>
      </c>
      <c r="I186" s="396">
        <v>1680</v>
      </c>
      <c r="J186" s="397"/>
      <c r="K186" s="398"/>
      <c r="L186" s="399">
        <f t="shared" si="145"/>
        <v>9.28125</v>
      </c>
      <c r="M186" s="400">
        <f t="shared" si="146"/>
        <v>3.5357142857142856</v>
      </c>
      <c r="N186" s="302"/>
      <c r="O186" s="302"/>
      <c r="P186" s="302"/>
      <c r="Q186" s="302"/>
      <c r="R186" s="302"/>
      <c r="S186" s="302"/>
      <c r="T186" s="302"/>
      <c r="U186" s="302"/>
      <c r="V186" s="302"/>
      <c r="W186" s="302"/>
      <c r="X186" s="302"/>
      <c r="Y186" s="302"/>
      <c r="Z186" s="302"/>
      <c r="AA186" s="302"/>
      <c r="AB186" s="302"/>
      <c r="AC186" s="302"/>
      <c r="AD186" s="302"/>
      <c r="AE186" s="302"/>
      <c r="AF186" s="391">
        <v>0</v>
      </c>
      <c r="AG186" s="392">
        <v>0</v>
      </c>
      <c r="AH186" s="392">
        <v>5065</v>
      </c>
      <c r="AI186" s="392">
        <v>5690</v>
      </c>
      <c r="AJ186" s="392">
        <v>6125</v>
      </c>
      <c r="AK186" s="392">
        <v>6900</v>
      </c>
      <c r="AL186" s="392">
        <v>8518</v>
      </c>
      <c r="AM186" s="392">
        <v>10500</v>
      </c>
      <c r="AN186" s="392">
        <v>10715</v>
      </c>
      <c r="AO186" s="393">
        <v>11715</v>
      </c>
      <c r="AP186" s="391">
        <f t="shared" si="147"/>
        <v>0</v>
      </c>
      <c r="AQ186" s="392">
        <f t="shared" si="148"/>
        <v>0</v>
      </c>
      <c r="AR186" s="392">
        <f t="shared" si="149"/>
        <v>0</v>
      </c>
      <c r="AS186" s="392">
        <f t="shared" si="150"/>
        <v>0</v>
      </c>
      <c r="AT186" s="392">
        <f t="shared" si="151"/>
        <v>6125</v>
      </c>
      <c r="AU186" s="392">
        <f t="shared" si="152"/>
        <v>0</v>
      </c>
      <c r="AV186" s="392">
        <f t="shared" si="153"/>
        <v>0</v>
      </c>
      <c r="AW186" s="392">
        <f t="shared" si="154"/>
        <v>0</v>
      </c>
      <c r="AX186" s="392">
        <f t="shared" si="155"/>
        <v>0</v>
      </c>
      <c r="AY186" s="393">
        <f t="shared" si="156"/>
        <v>0</v>
      </c>
      <c r="AZ186" s="302"/>
      <c r="BA186" s="302"/>
      <c r="BB186" s="302"/>
      <c r="BC186" s="302"/>
      <c r="BD186" s="302"/>
      <c r="BE186" s="302"/>
      <c r="BF186" s="302"/>
      <c r="BG186" s="302"/>
      <c r="BH186" s="302"/>
      <c r="BI186" s="302"/>
      <c r="BJ186" s="302"/>
      <c r="BK186" s="302"/>
      <c r="BL186" s="302"/>
      <c r="BM186" s="302"/>
      <c r="BN186" s="302"/>
      <c r="BO186" s="302"/>
      <c r="BP186" s="302"/>
      <c r="BQ186" s="302"/>
      <c r="BR186" s="302"/>
      <c r="BS186" s="302"/>
      <c r="BT186" s="302"/>
      <c r="BU186" s="302"/>
    </row>
    <row r="187" spans="1:73">
      <c r="A187" s="325"/>
      <c r="B187" s="394"/>
      <c r="C187" s="394" t="s">
        <v>394</v>
      </c>
      <c r="D187" s="326">
        <v>111.6</v>
      </c>
      <c r="E187" s="326">
        <v>107.336</v>
      </c>
      <c r="F187" s="395">
        <f t="shared" si="143"/>
        <v>4.5</v>
      </c>
      <c r="G187" s="394">
        <v>1500</v>
      </c>
      <c r="H187" s="396">
        <f t="shared" si="144"/>
        <v>5544</v>
      </c>
      <c r="I187" s="396">
        <v>1680</v>
      </c>
      <c r="J187" s="397"/>
      <c r="K187" s="398"/>
      <c r="L187" s="399">
        <f t="shared" si="145"/>
        <v>7.9553571428571423</v>
      </c>
      <c r="M187" s="400">
        <f t="shared" si="146"/>
        <v>3.5357142857142856</v>
      </c>
      <c r="N187" s="302"/>
      <c r="O187" s="302"/>
      <c r="P187" s="302"/>
      <c r="Q187" s="302"/>
      <c r="R187" s="302"/>
      <c r="S187" s="302"/>
      <c r="T187" s="302"/>
      <c r="U187" s="302"/>
      <c r="V187" s="302"/>
      <c r="W187" s="302"/>
      <c r="X187" s="302"/>
      <c r="Y187" s="302"/>
      <c r="Z187" s="302"/>
      <c r="AA187" s="302"/>
      <c r="AB187" s="302"/>
      <c r="AC187" s="302"/>
      <c r="AD187" s="302"/>
      <c r="AE187" s="302"/>
      <c r="AF187" s="391">
        <v>0</v>
      </c>
      <c r="AG187" s="392">
        <v>0</v>
      </c>
      <c r="AH187" s="392">
        <v>4380</v>
      </c>
      <c r="AI187" s="392">
        <v>4773</v>
      </c>
      <c r="AJ187" s="392">
        <v>5544</v>
      </c>
      <c r="AK187" s="392">
        <v>6030</v>
      </c>
      <c r="AL187" s="392">
        <v>7340</v>
      </c>
      <c r="AM187" s="392">
        <v>8680</v>
      </c>
      <c r="AN187" s="392">
        <v>8870</v>
      </c>
      <c r="AO187" s="393">
        <v>9270</v>
      </c>
      <c r="AP187" s="391">
        <f t="shared" si="147"/>
        <v>0</v>
      </c>
      <c r="AQ187" s="392">
        <f t="shared" si="148"/>
        <v>0</v>
      </c>
      <c r="AR187" s="392">
        <f t="shared" si="149"/>
        <v>0</v>
      </c>
      <c r="AS187" s="392">
        <f t="shared" si="150"/>
        <v>0</v>
      </c>
      <c r="AT187" s="392">
        <f t="shared" si="151"/>
        <v>5544</v>
      </c>
      <c r="AU187" s="392">
        <f t="shared" si="152"/>
        <v>0</v>
      </c>
      <c r="AV187" s="392">
        <f t="shared" si="153"/>
        <v>0</v>
      </c>
      <c r="AW187" s="392">
        <f t="shared" si="154"/>
        <v>0</v>
      </c>
      <c r="AX187" s="392">
        <f t="shared" si="155"/>
        <v>0</v>
      </c>
      <c r="AY187" s="393">
        <f t="shared" si="156"/>
        <v>0</v>
      </c>
      <c r="AZ187" s="302"/>
      <c r="BA187" s="302"/>
      <c r="BB187" s="302"/>
      <c r="BC187" s="302"/>
      <c r="BD187" s="302"/>
      <c r="BE187" s="302"/>
      <c r="BF187" s="302"/>
      <c r="BG187" s="302"/>
      <c r="BH187" s="302"/>
      <c r="BI187" s="302"/>
      <c r="BJ187" s="302"/>
      <c r="BK187" s="302"/>
      <c r="BL187" s="302"/>
      <c r="BM187" s="302"/>
      <c r="BN187" s="302"/>
      <c r="BO187" s="302"/>
      <c r="BP187" s="302"/>
      <c r="BQ187" s="302"/>
      <c r="BR187" s="302"/>
      <c r="BS187" s="302"/>
      <c r="BT187" s="302"/>
      <c r="BU187" s="302"/>
    </row>
    <row r="188" spans="1:73">
      <c r="A188" s="325"/>
      <c r="B188" s="394"/>
      <c r="C188" s="394" t="s">
        <v>395</v>
      </c>
      <c r="D188" s="326">
        <v>111.2</v>
      </c>
      <c r="E188" s="326">
        <v>107.16200000000001</v>
      </c>
      <c r="F188" s="395">
        <f t="shared" si="143"/>
        <v>4.25</v>
      </c>
      <c r="G188" s="394">
        <v>1500</v>
      </c>
      <c r="H188" s="396">
        <f t="shared" si="144"/>
        <v>5016</v>
      </c>
      <c r="I188" s="396">
        <v>1680</v>
      </c>
      <c r="J188" s="397"/>
      <c r="K188" s="398"/>
      <c r="L188" s="399">
        <f t="shared" si="145"/>
        <v>7.5133928571428568</v>
      </c>
      <c r="M188" s="400">
        <f t="shared" si="146"/>
        <v>3.5357142857142856</v>
      </c>
      <c r="N188" s="302"/>
      <c r="O188" s="302"/>
      <c r="P188" s="302"/>
      <c r="Q188" s="302"/>
      <c r="R188" s="302"/>
      <c r="S188" s="302"/>
      <c r="T188" s="302"/>
      <c r="U188" s="302"/>
      <c r="V188" s="302"/>
      <c r="W188" s="302"/>
      <c r="X188" s="302"/>
      <c r="Y188" s="302"/>
      <c r="Z188" s="302"/>
      <c r="AA188" s="302"/>
      <c r="AB188" s="302"/>
      <c r="AC188" s="302"/>
      <c r="AD188" s="302"/>
      <c r="AE188" s="302"/>
      <c r="AF188" s="391">
        <v>0</v>
      </c>
      <c r="AG188" s="392">
        <v>0</v>
      </c>
      <c r="AH188" s="392">
        <v>4090</v>
      </c>
      <c r="AI188" s="392">
        <v>4569</v>
      </c>
      <c r="AJ188" s="392">
        <v>5016</v>
      </c>
      <c r="AK188" s="392">
        <v>5740</v>
      </c>
      <c r="AL188" s="392">
        <v>6986</v>
      </c>
      <c r="AM188" s="392">
        <v>8415</v>
      </c>
      <c r="AN188" s="392">
        <v>8585</v>
      </c>
      <c r="AO188" s="393">
        <v>9080</v>
      </c>
      <c r="AP188" s="391">
        <f t="shared" si="147"/>
        <v>0</v>
      </c>
      <c r="AQ188" s="392">
        <f t="shared" si="148"/>
        <v>0</v>
      </c>
      <c r="AR188" s="392">
        <f t="shared" si="149"/>
        <v>0</v>
      </c>
      <c r="AS188" s="392">
        <f t="shared" si="150"/>
        <v>0</v>
      </c>
      <c r="AT188" s="392">
        <f t="shared" si="151"/>
        <v>5016</v>
      </c>
      <c r="AU188" s="392">
        <f t="shared" si="152"/>
        <v>0</v>
      </c>
      <c r="AV188" s="392">
        <f t="shared" si="153"/>
        <v>0</v>
      </c>
      <c r="AW188" s="392">
        <f t="shared" si="154"/>
        <v>0</v>
      </c>
      <c r="AX188" s="392">
        <f t="shared" si="155"/>
        <v>0</v>
      </c>
      <c r="AY188" s="393">
        <f t="shared" si="156"/>
        <v>0</v>
      </c>
      <c r="AZ188" s="302"/>
      <c r="BA188" s="302"/>
      <c r="BB188" s="302"/>
      <c r="BC188" s="302"/>
      <c r="BD188" s="302"/>
      <c r="BE188" s="302"/>
      <c r="BF188" s="302"/>
      <c r="BG188" s="302"/>
      <c r="BH188" s="302"/>
      <c r="BI188" s="302"/>
      <c r="BJ188" s="302"/>
      <c r="BK188" s="302"/>
      <c r="BL188" s="302"/>
      <c r="BM188" s="302"/>
      <c r="BN188" s="302"/>
      <c r="BO188" s="302"/>
      <c r="BP188" s="302"/>
      <c r="BQ188" s="302"/>
      <c r="BR188" s="302"/>
      <c r="BS188" s="302"/>
      <c r="BT188" s="302"/>
      <c r="BU188" s="302"/>
    </row>
    <row r="189" spans="1:73">
      <c r="A189" s="325"/>
      <c r="B189" s="394"/>
      <c r="C189" s="394" t="s">
        <v>396</v>
      </c>
      <c r="D189" s="326">
        <v>108.848</v>
      </c>
      <c r="E189" s="326">
        <v>106.887</v>
      </c>
      <c r="F189" s="395">
        <f t="shared" si="143"/>
        <v>2</v>
      </c>
      <c r="G189" s="394">
        <v>1200</v>
      </c>
      <c r="H189" s="396">
        <f t="shared" si="144"/>
        <v>1680</v>
      </c>
      <c r="I189" s="396">
        <v>1680</v>
      </c>
      <c r="J189" s="397"/>
      <c r="K189" s="398"/>
      <c r="L189" s="399">
        <f t="shared" si="145"/>
        <v>2.2628571428571429</v>
      </c>
      <c r="M189" s="400">
        <f t="shared" si="146"/>
        <v>3.5357142857142856</v>
      </c>
      <c r="N189" s="302"/>
      <c r="O189" s="302"/>
      <c r="P189" s="302"/>
      <c r="Q189" s="302"/>
      <c r="R189" s="302"/>
      <c r="S189" s="302"/>
      <c r="T189" s="302"/>
      <c r="U189" s="302"/>
      <c r="V189" s="302"/>
      <c r="W189" s="302"/>
      <c r="X189" s="302"/>
      <c r="Y189" s="302"/>
      <c r="Z189" s="302"/>
      <c r="AA189" s="302"/>
      <c r="AB189" s="302"/>
      <c r="AC189" s="302"/>
      <c r="AD189" s="302"/>
      <c r="AE189" s="302"/>
      <c r="AF189" s="391">
        <v>0</v>
      </c>
      <c r="AG189" s="392">
        <v>0</v>
      </c>
      <c r="AH189" s="392">
        <v>1680</v>
      </c>
      <c r="AI189" s="392">
        <v>1970</v>
      </c>
      <c r="AJ189" s="392">
        <v>2465</v>
      </c>
      <c r="AK189" s="392">
        <v>2728</v>
      </c>
      <c r="AL189" s="392">
        <v>3320</v>
      </c>
      <c r="AM189" s="392">
        <v>4661</v>
      </c>
      <c r="AN189" s="392">
        <v>5115</v>
      </c>
      <c r="AO189" s="393">
        <v>6870</v>
      </c>
      <c r="AP189" s="391">
        <f t="shared" si="147"/>
        <v>0</v>
      </c>
      <c r="AQ189" s="392">
        <f t="shared" si="148"/>
        <v>0</v>
      </c>
      <c r="AR189" s="392">
        <f t="shared" si="149"/>
        <v>1680</v>
      </c>
      <c r="AS189" s="392">
        <f t="shared" si="150"/>
        <v>0</v>
      </c>
      <c r="AT189" s="392">
        <f t="shared" si="151"/>
        <v>0</v>
      </c>
      <c r="AU189" s="392">
        <f t="shared" si="152"/>
        <v>0</v>
      </c>
      <c r="AV189" s="392">
        <f t="shared" si="153"/>
        <v>0</v>
      </c>
      <c r="AW189" s="392">
        <f t="shared" si="154"/>
        <v>0</v>
      </c>
      <c r="AX189" s="392">
        <f t="shared" si="155"/>
        <v>0</v>
      </c>
      <c r="AY189" s="393">
        <f t="shared" si="156"/>
        <v>0</v>
      </c>
      <c r="AZ189" s="302"/>
      <c r="BA189" s="302"/>
      <c r="BB189" s="302"/>
      <c r="BC189" s="302"/>
      <c r="BD189" s="302"/>
      <c r="BE189" s="302"/>
      <c r="BF189" s="302"/>
      <c r="BG189" s="302"/>
      <c r="BH189" s="302"/>
      <c r="BI189" s="302"/>
      <c r="BJ189" s="302"/>
      <c r="BK189" s="302"/>
      <c r="BL189" s="302"/>
      <c r="BM189" s="302"/>
      <c r="BN189" s="302"/>
      <c r="BO189" s="302"/>
      <c r="BP189" s="302"/>
      <c r="BQ189" s="302"/>
      <c r="BR189" s="302"/>
      <c r="BS189" s="302"/>
      <c r="BT189" s="302"/>
      <c r="BU189" s="302"/>
    </row>
    <row r="190" spans="1:73">
      <c r="A190" s="325"/>
      <c r="B190" s="394"/>
      <c r="C190" s="394" t="s">
        <v>397</v>
      </c>
      <c r="D190" s="326">
        <v>107.751</v>
      </c>
      <c r="E190" s="326">
        <v>105.79</v>
      </c>
      <c r="F190" s="395">
        <f t="shared" si="143"/>
        <v>2</v>
      </c>
      <c r="G190" s="394">
        <v>1200</v>
      </c>
      <c r="H190" s="396">
        <f t="shared" si="144"/>
        <v>1680</v>
      </c>
      <c r="I190" s="396">
        <v>1680</v>
      </c>
      <c r="J190" s="397"/>
      <c r="K190" s="398"/>
      <c r="L190" s="399">
        <f t="shared" si="145"/>
        <v>2.2628571428571429</v>
      </c>
      <c r="M190" s="400">
        <f t="shared" si="146"/>
        <v>3.5357142857142856</v>
      </c>
      <c r="N190" s="302"/>
      <c r="O190" s="302"/>
      <c r="P190" s="302"/>
      <c r="Q190" s="302"/>
      <c r="R190" s="302"/>
      <c r="S190" s="302"/>
      <c r="T190" s="302"/>
      <c r="U190" s="302"/>
      <c r="V190" s="302"/>
      <c r="W190" s="302"/>
      <c r="X190" s="302"/>
      <c r="Y190" s="302"/>
      <c r="Z190" s="302"/>
      <c r="AA190" s="302"/>
      <c r="AB190" s="302"/>
      <c r="AC190" s="302"/>
      <c r="AD190" s="302"/>
      <c r="AE190" s="302"/>
      <c r="AF190" s="391">
        <v>0</v>
      </c>
      <c r="AG190" s="392">
        <v>0</v>
      </c>
      <c r="AH190" s="392">
        <v>1680</v>
      </c>
      <c r="AI190" s="392">
        <v>1970</v>
      </c>
      <c r="AJ190" s="392">
        <v>2465</v>
      </c>
      <c r="AK190" s="392">
        <v>2728</v>
      </c>
      <c r="AL190" s="392">
        <v>3320</v>
      </c>
      <c r="AM190" s="392">
        <v>4661</v>
      </c>
      <c r="AN190" s="392">
        <v>5115</v>
      </c>
      <c r="AO190" s="393">
        <v>6870</v>
      </c>
      <c r="AP190" s="391">
        <f t="shared" si="147"/>
        <v>0</v>
      </c>
      <c r="AQ190" s="392">
        <f t="shared" si="148"/>
        <v>0</v>
      </c>
      <c r="AR190" s="392">
        <f t="shared" si="149"/>
        <v>1680</v>
      </c>
      <c r="AS190" s="392">
        <f t="shared" si="150"/>
        <v>0</v>
      </c>
      <c r="AT190" s="392">
        <f t="shared" si="151"/>
        <v>0</v>
      </c>
      <c r="AU190" s="392">
        <f t="shared" si="152"/>
        <v>0</v>
      </c>
      <c r="AV190" s="392">
        <f t="shared" si="153"/>
        <v>0</v>
      </c>
      <c r="AW190" s="392">
        <f t="shared" si="154"/>
        <v>0</v>
      </c>
      <c r="AX190" s="392">
        <f t="shared" si="155"/>
        <v>0</v>
      </c>
      <c r="AY190" s="393">
        <f t="shared" si="156"/>
        <v>0</v>
      </c>
      <c r="AZ190" s="302"/>
      <c r="BA190" s="302"/>
      <c r="BB190" s="302"/>
      <c r="BC190" s="302"/>
      <c r="BD190" s="302"/>
      <c r="BE190" s="302"/>
      <c r="BF190" s="302"/>
      <c r="BG190" s="302"/>
      <c r="BH190" s="302"/>
      <c r="BI190" s="302"/>
      <c r="BJ190" s="302"/>
      <c r="BK190" s="302"/>
      <c r="BL190" s="302"/>
      <c r="BM190" s="302"/>
      <c r="BN190" s="302"/>
      <c r="BO190" s="302"/>
      <c r="BP190" s="302"/>
      <c r="BQ190" s="302"/>
      <c r="BR190" s="302"/>
      <c r="BS190" s="302"/>
      <c r="BT190" s="302"/>
      <c r="BU190" s="302"/>
    </row>
    <row r="191" spans="1:73">
      <c r="A191" s="325"/>
      <c r="B191" s="394"/>
      <c r="C191" s="394" t="s">
        <v>398</v>
      </c>
      <c r="D191" s="326">
        <v>107.56699999999999</v>
      </c>
      <c r="E191" s="326">
        <v>105.79</v>
      </c>
      <c r="F191" s="395">
        <f t="shared" si="143"/>
        <v>2</v>
      </c>
      <c r="G191" s="394">
        <v>1200</v>
      </c>
      <c r="H191" s="396">
        <f t="shared" si="144"/>
        <v>1680</v>
      </c>
      <c r="I191" s="396">
        <v>1680</v>
      </c>
      <c r="J191" s="397"/>
      <c r="K191" s="398"/>
      <c r="L191" s="399">
        <f t="shared" si="145"/>
        <v>2.2628571428571429</v>
      </c>
      <c r="M191" s="400">
        <f t="shared" si="146"/>
        <v>3.5357142857142856</v>
      </c>
      <c r="N191" s="302"/>
      <c r="O191" s="302"/>
      <c r="P191" s="302"/>
      <c r="Q191" s="302"/>
      <c r="R191" s="302"/>
      <c r="S191" s="302"/>
      <c r="T191" s="302"/>
      <c r="U191" s="302"/>
      <c r="V191" s="302"/>
      <c r="W191" s="302"/>
      <c r="X191" s="302"/>
      <c r="Y191" s="302"/>
      <c r="Z191" s="302"/>
      <c r="AA191" s="302"/>
      <c r="AB191" s="302"/>
      <c r="AC191" s="302"/>
      <c r="AD191" s="302"/>
      <c r="AE191" s="302"/>
      <c r="AF191" s="391">
        <v>0</v>
      </c>
      <c r="AG191" s="392">
        <v>0</v>
      </c>
      <c r="AH191" s="392">
        <v>1680</v>
      </c>
      <c r="AI191" s="392">
        <v>1970</v>
      </c>
      <c r="AJ191" s="392">
        <v>2465</v>
      </c>
      <c r="AK191" s="392">
        <v>2728</v>
      </c>
      <c r="AL191" s="392">
        <v>3320</v>
      </c>
      <c r="AM191" s="392">
        <v>4661</v>
      </c>
      <c r="AN191" s="392">
        <v>5115</v>
      </c>
      <c r="AO191" s="393">
        <v>6870</v>
      </c>
      <c r="AP191" s="391">
        <f t="shared" si="147"/>
        <v>0</v>
      </c>
      <c r="AQ191" s="392">
        <f t="shared" si="148"/>
        <v>0</v>
      </c>
      <c r="AR191" s="392">
        <f t="shared" si="149"/>
        <v>1680</v>
      </c>
      <c r="AS191" s="392">
        <f t="shared" si="150"/>
        <v>0</v>
      </c>
      <c r="AT191" s="392">
        <f t="shared" si="151"/>
        <v>0</v>
      </c>
      <c r="AU191" s="392">
        <f t="shared" si="152"/>
        <v>0</v>
      </c>
      <c r="AV191" s="392">
        <f t="shared" si="153"/>
        <v>0</v>
      </c>
      <c r="AW191" s="392">
        <f t="shared" si="154"/>
        <v>0</v>
      </c>
      <c r="AX191" s="392">
        <f t="shared" si="155"/>
        <v>0</v>
      </c>
      <c r="AY191" s="393">
        <f t="shared" si="156"/>
        <v>0</v>
      </c>
      <c r="AZ191" s="302"/>
      <c r="BA191" s="302"/>
      <c r="BB191" s="302"/>
      <c r="BC191" s="302"/>
      <c r="BD191" s="302"/>
      <c r="BE191" s="302"/>
      <c r="BF191" s="302"/>
      <c r="BG191" s="302"/>
      <c r="BH191" s="302"/>
      <c r="BI191" s="302"/>
      <c r="BJ191" s="302"/>
      <c r="BK191" s="302"/>
      <c r="BL191" s="302"/>
      <c r="BM191" s="302"/>
      <c r="BN191" s="302"/>
      <c r="BO191" s="302"/>
      <c r="BP191" s="302"/>
      <c r="BQ191" s="302"/>
      <c r="BR191" s="302"/>
      <c r="BS191" s="302"/>
      <c r="BT191" s="302"/>
      <c r="BU191" s="302"/>
    </row>
    <row r="192" spans="1:73">
      <c r="A192" s="325"/>
      <c r="B192" s="394"/>
      <c r="C192" s="394" t="s">
        <v>399</v>
      </c>
      <c r="D192" s="326">
        <v>107.5</v>
      </c>
      <c r="E192" s="326">
        <v>105.69799999999999</v>
      </c>
      <c r="F192" s="395">
        <f t="shared" si="143"/>
        <v>2</v>
      </c>
      <c r="G192" s="394">
        <v>1200</v>
      </c>
      <c r="H192" s="396">
        <f t="shared" si="144"/>
        <v>1680</v>
      </c>
      <c r="I192" s="396">
        <v>1680</v>
      </c>
      <c r="J192" s="397"/>
      <c r="K192" s="398"/>
      <c r="L192" s="399">
        <f t="shared" si="145"/>
        <v>2.2628571428571429</v>
      </c>
      <c r="M192" s="400">
        <f t="shared" si="146"/>
        <v>3.5357142857142856</v>
      </c>
      <c r="N192" s="302"/>
      <c r="O192" s="302"/>
      <c r="P192" s="302"/>
      <c r="Q192" s="302"/>
      <c r="R192" s="302"/>
      <c r="S192" s="302"/>
      <c r="T192" s="302"/>
      <c r="U192" s="302"/>
      <c r="V192" s="302"/>
      <c r="W192" s="302"/>
      <c r="X192" s="302"/>
      <c r="Y192" s="302"/>
      <c r="Z192" s="302"/>
      <c r="AA192" s="302"/>
      <c r="AB192" s="302"/>
      <c r="AC192" s="302"/>
      <c r="AD192" s="302"/>
      <c r="AE192" s="302"/>
      <c r="AF192" s="391">
        <v>0</v>
      </c>
      <c r="AG192" s="392">
        <v>0</v>
      </c>
      <c r="AH192" s="392">
        <v>1680</v>
      </c>
      <c r="AI192" s="392">
        <v>1970</v>
      </c>
      <c r="AJ192" s="392">
        <v>2465</v>
      </c>
      <c r="AK192" s="392">
        <v>2728</v>
      </c>
      <c r="AL192" s="392">
        <v>3320</v>
      </c>
      <c r="AM192" s="392">
        <v>4661</v>
      </c>
      <c r="AN192" s="392">
        <v>5115</v>
      </c>
      <c r="AO192" s="393">
        <v>6870</v>
      </c>
      <c r="AP192" s="391">
        <f t="shared" si="147"/>
        <v>0</v>
      </c>
      <c r="AQ192" s="392">
        <f t="shared" si="148"/>
        <v>0</v>
      </c>
      <c r="AR192" s="392">
        <f t="shared" si="149"/>
        <v>1680</v>
      </c>
      <c r="AS192" s="392">
        <f t="shared" si="150"/>
        <v>0</v>
      </c>
      <c r="AT192" s="392">
        <f t="shared" si="151"/>
        <v>0</v>
      </c>
      <c r="AU192" s="392">
        <f t="shared" si="152"/>
        <v>0</v>
      </c>
      <c r="AV192" s="392">
        <f t="shared" si="153"/>
        <v>0</v>
      </c>
      <c r="AW192" s="392">
        <f t="shared" si="154"/>
        <v>0</v>
      </c>
      <c r="AX192" s="392">
        <f t="shared" si="155"/>
        <v>0</v>
      </c>
      <c r="AY192" s="393">
        <f t="shared" si="156"/>
        <v>0</v>
      </c>
      <c r="AZ192" s="302"/>
      <c r="BA192" s="302"/>
      <c r="BB192" s="302"/>
      <c r="BC192" s="302"/>
      <c r="BD192" s="302"/>
      <c r="BE192" s="302"/>
      <c r="BF192" s="302"/>
      <c r="BG192" s="302"/>
      <c r="BH192" s="302"/>
      <c r="BI192" s="302"/>
      <c r="BJ192" s="302"/>
      <c r="BK192" s="302"/>
      <c r="BL192" s="302"/>
      <c r="BM192" s="302"/>
      <c r="BN192" s="302"/>
      <c r="BO192" s="302"/>
      <c r="BP192" s="302"/>
      <c r="BQ192" s="302"/>
      <c r="BR192" s="302"/>
      <c r="BS192" s="302"/>
      <c r="BT192" s="302"/>
      <c r="BU192" s="302"/>
    </row>
    <row r="193" spans="1:73">
      <c r="A193" s="325"/>
      <c r="B193" s="394"/>
      <c r="C193" s="394" t="s">
        <v>400</v>
      </c>
      <c r="D193" s="326"/>
      <c r="E193" s="326"/>
      <c r="F193" s="395">
        <f t="shared" si="143"/>
        <v>0</v>
      </c>
      <c r="G193" s="394"/>
      <c r="H193" s="396">
        <f t="shared" si="144"/>
        <v>0</v>
      </c>
      <c r="I193" s="396">
        <v>0</v>
      </c>
      <c r="J193" s="397"/>
      <c r="K193" s="398"/>
      <c r="L193" s="399">
        <f t="shared" si="145"/>
        <v>0</v>
      </c>
      <c r="M193" s="400">
        <f t="shared" si="146"/>
        <v>0</v>
      </c>
      <c r="N193" s="302"/>
      <c r="O193" s="302"/>
      <c r="P193" s="302"/>
      <c r="Q193" s="302"/>
      <c r="R193" s="302"/>
      <c r="S193" s="302"/>
      <c r="T193" s="302"/>
      <c r="U193" s="302"/>
      <c r="V193" s="302"/>
      <c r="W193" s="302"/>
      <c r="X193" s="302"/>
      <c r="Y193" s="302"/>
      <c r="Z193" s="302"/>
      <c r="AA193" s="302"/>
      <c r="AB193" s="302"/>
      <c r="AC193" s="302"/>
      <c r="AD193" s="302"/>
      <c r="AE193" s="302"/>
      <c r="AF193" s="391">
        <v>0</v>
      </c>
      <c r="AG193" s="392">
        <v>0</v>
      </c>
      <c r="AH193" s="392">
        <v>0</v>
      </c>
      <c r="AI193" s="392">
        <v>0</v>
      </c>
      <c r="AJ193" s="392">
        <v>0</v>
      </c>
      <c r="AK193" s="392">
        <v>0</v>
      </c>
      <c r="AL193" s="392">
        <v>0</v>
      </c>
      <c r="AM193" s="392">
        <v>0</v>
      </c>
      <c r="AN193" s="392">
        <v>0</v>
      </c>
      <c r="AO193" s="393">
        <v>0</v>
      </c>
      <c r="AP193" s="391">
        <f t="shared" si="147"/>
        <v>0</v>
      </c>
      <c r="AQ193" s="392">
        <f t="shared" si="148"/>
        <v>0</v>
      </c>
      <c r="AR193" s="392">
        <f t="shared" si="149"/>
        <v>0</v>
      </c>
      <c r="AS193" s="392">
        <f t="shared" si="150"/>
        <v>0</v>
      </c>
      <c r="AT193" s="392">
        <f t="shared" si="151"/>
        <v>0</v>
      </c>
      <c r="AU193" s="392">
        <f t="shared" si="152"/>
        <v>0</v>
      </c>
      <c r="AV193" s="392">
        <f t="shared" si="153"/>
        <v>0</v>
      </c>
      <c r="AW193" s="392">
        <f t="shared" si="154"/>
        <v>0</v>
      </c>
      <c r="AX193" s="392">
        <f t="shared" si="155"/>
        <v>0</v>
      </c>
      <c r="AY193" s="393">
        <f t="shared" si="156"/>
        <v>0</v>
      </c>
      <c r="AZ193" s="302"/>
      <c r="BA193" s="302"/>
      <c r="BB193" s="302"/>
      <c r="BC193" s="302"/>
      <c r="BD193" s="302"/>
      <c r="BE193" s="302"/>
      <c r="BF193" s="302"/>
      <c r="BG193" s="302"/>
      <c r="BH193" s="302"/>
      <c r="BI193" s="302"/>
      <c r="BJ193" s="302"/>
      <c r="BK193" s="302"/>
      <c r="BL193" s="302"/>
      <c r="BM193" s="302"/>
      <c r="BN193" s="302"/>
      <c r="BO193" s="302"/>
      <c r="BP193" s="302"/>
      <c r="BQ193" s="302"/>
      <c r="BR193" s="302"/>
      <c r="BS193" s="302"/>
      <c r="BT193" s="302"/>
      <c r="BU193" s="302"/>
    </row>
    <row r="194" spans="1:73">
      <c r="A194" s="325"/>
      <c r="B194" s="394"/>
      <c r="C194" s="394" t="s">
        <v>400</v>
      </c>
      <c r="D194" s="326"/>
      <c r="E194" s="326"/>
      <c r="F194" s="395">
        <f t="shared" si="143"/>
        <v>0</v>
      </c>
      <c r="G194" s="394"/>
      <c r="H194" s="396">
        <f t="shared" si="144"/>
        <v>0</v>
      </c>
      <c r="I194" s="396">
        <v>0</v>
      </c>
      <c r="J194" s="397"/>
      <c r="K194" s="398"/>
      <c r="L194" s="399">
        <f t="shared" si="145"/>
        <v>0</v>
      </c>
      <c r="M194" s="400">
        <f t="shared" si="146"/>
        <v>0</v>
      </c>
      <c r="N194" s="302"/>
      <c r="O194" s="302"/>
      <c r="P194" s="302"/>
      <c r="Q194" s="302"/>
      <c r="R194" s="302"/>
      <c r="S194" s="302"/>
      <c r="T194" s="302"/>
      <c r="U194" s="302"/>
      <c r="V194" s="302"/>
      <c r="W194" s="302"/>
      <c r="X194" s="302"/>
      <c r="Y194" s="302"/>
      <c r="Z194" s="302"/>
      <c r="AA194" s="302"/>
      <c r="AB194" s="302"/>
      <c r="AC194" s="302"/>
      <c r="AD194" s="302"/>
      <c r="AE194" s="302"/>
      <c r="AF194" s="391">
        <v>0</v>
      </c>
      <c r="AG194" s="392">
        <v>0</v>
      </c>
      <c r="AH194" s="392">
        <v>0</v>
      </c>
      <c r="AI194" s="392">
        <v>0</v>
      </c>
      <c r="AJ194" s="392">
        <v>0</v>
      </c>
      <c r="AK194" s="392">
        <v>0</v>
      </c>
      <c r="AL194" s="392">
        <v>0</v>
      </c>
      <c r="AM194" s="392">
        <v>0</v>
      </c>
      <c r="AN194" s="392">
        <v>0</v>
      </c>
      <c r="AO194" s="393">
        <v>0</v>
      </c>
      <c r="AP194" s="391">
        <f t="shared" si="147"/>
        <v>0</v>
      </c>
      <c r="AQ194" s="392">
        <f t="shared" si="148"/>
        <v>0</v>
      </c>
      <c r="AR194" s="392">
        <f t="shared" si="149"/>
        <v>0</v>
      </c>
      <c r="AS194" s="392">
        <f t="shared" si="150"/>
        <v>0</v>
      </c>
      <c r="AT194" s="392">
        <f t="shared" si="151"/>
        <v>0</v>
      </c>
      <c r="AU194" s="392">
        <f t="shared" si="152"/>
        <v>0</v>
      </c>
      <c r="AV194" s="392">
        <f t="shared" si="153"/>
        <v>0</v>
      </c>
      <c r="AW194" s="392">
        <f t="shared" si="154"/>
        <v>0</v>
      </c>
      <c r="AX194" s="392">
        <f t="shared" si="155"/>
        <v>0</v>
      </c>
      <c r="AY194" s="393">
        <f t="shared" si="156"/>
        <v>0</v>
      </c>
      <c r="AZ194" s="302"/>
      <c r="BA194" s="302"/>
      <c r="BB194" s="302"/>
      <c r="BC194" s="302"/>
      <c r="BD194" s="302"/>
      <c r="BE194" s="302"/>
      <c r="BF194" s="302"/>
      <c r="BG194" s="302"/>
      <c r="BH194" s="302"/>
      <c r="BI194" s="302"/>
      <c r="BJ194" s="302"/>
      <c r="BK194" s="302"/>
      <c r="BL194" s="302"/>
      <c r="BM194" s="302"/>
      <c r="BN194" s="302"/>
      <c r="BO194" s="302"/>
      <c r="BP194" s="302"/>
      <c r="BQ194" s="302"/>
      <c r="BR194" s="302"/>
      <c r="BS194" s="302"/>
      <c r="BT194" s="302"/>
      <c r="BU194" s="302"/>
    </row>
    <row r="195" spans="1:73" ht="14" thickBot="1">
      <c r="A195" s="348"/>
      <c r="B195" s="417"/>
      <c r="C195" s="417" t="s">
        <v>400</v>
      </c>
      <c r="D195" s="349"/>
      <c r="E195" s="349"/>
      <c r="F195" s="418">
        <f t="shared" si="143"/>
        <v>0</v>
      </c>
      <c r="G195" s="417"/>
      <c r="H195" s="419">
        <f t="shared" si="144"/>
        <v>0</v>
      </c>
      <c r="I195" s="419">
        <v>0</v>
      </c>
      <c r="J195" s="372"/>
      <c r="K195" s="420"/>
      <c r="L195" s="421">
        <f t="shared" si="145"/>
        <v>0</v>
      </c>
      <c r="M195" s="422">
        <f t="shared" si="146"/>
        <v>0</v>
      </c>
      <c r="N195" s="302"/>
      <c r="O195" s="302"/>
      <c r="P195" s="302"/>
      <c r="Q195" s="302"/>
      <c r="R195" s="302"/>
      <c r="S195" s="302"/>
      <c r="T195" s="302"/>
      <c r="U195" s="302"/>
      <c r="V195" s="302"/>
      <c r="W195" s="302"/>
      <c r="X195" s="302"/>
      <c r="Y195" s="302"/>
      <c r="Z195" s="302"/>
      <c r="AA195" s="302"/>
      <c r="AB195" s="302"/>
      <c r="AC195" s="302"/>
      <c r="AD195" s="302"/>
      <c r="AE195" s="302"/>
      <c r="AF195" s="424">
        <v>0</v>
      </c>
      <c r="AG195" s="425">
        <v>0</v>
      </c>
      <c r="AH195" s="425">
        <v>0</v>
      </c>
      <c r="AI195" s="425">
        <v>0</v>
      </c>
      <c r="AJ195" s="425">
        <v>0</v>
      </c>
      <c r="AK195" s="425">
        <v>0</v>
      </c>
      <c r="AL195" s="425">
        <v>0</v>
      </c>
      <c r="AM195" s="425">
        <v>0</v>
      </c>
      <c r="AN195" s="425">
        <v>0</v>
      </c>
      <c r="AO195" s="426">
        <v>0</v>
      </c>
      <c r="AP195" s="424">
        <f t="shared" si="147"/>
        <v>0</v>
      </c>
      <c r="AQ195" s="425">
        <f t="shared" si="148"/>
        <v>0</v>
      </c>
      <c r="AR195" s="425">
        <f t="shared" si="149"/>
        <v>0</v>
      </c>
      <c r="AS195" s="425">
        <f t="shared" si="150"/>
        <v>0</v>
      </c>
      <c r="AT195" s="425">
        <f t="shared" si="151"/>
        <v>0</v>
      </c>
      <c r="AU195" s="425">
        <f t="shared" si="152"/>
        <v>0</v>
      </c>
      <c r="AV195" s="425">
        <f t="shared" si="153"/>
        <v>0</v>
      </c>
      <c r="AW195" s="425">
        <f t="shared" si="154"/>
        <v>0</v>
      </c>
      <c r="AX195" s="425">
        <f t="shared" si="155"/>
        <v>0</v>
      </c>
      <c r="AY195" s="426">
        <f t="shared" si="156"/>
        <v>0</v>
      </c>
      <c r="AZ195" s="302"/>
      <c r="BA195" s="302"/>
      <c r="BB195" s="302"/>
      <c r="BC195" s="302"/>
      <c r="BD195" s="302"/>
      <c r="BE195" s="302"/>
      <c r="BF195" s="302"/>
      <c r="BG195" s="302"/>
      <c r="BH195" s="302"/>
      <c r="BI195" s="302"/>
      <c r="BJ195" s="302"/>
      <c r="BK195" s="302"/>
      <c r="BL195" s="302"/>
      <c r="BM195" s="302"/>
      <c r="BN195" s="302"/>
      <c r="BO195" s="302"/>
      <c r="BP195" s="302"/>
      <c r="BQ195" s="302"/>
      <c r="BR195" s="302"/>
      <c r="BS195" s="302"/>
      <c r="BT195" s="302"/>
      <c r="BU195" s="302"/>
    </row>
    <row r="196" spans="1:73" s="342" customFormat="1" ht="20" customHeight="1">
      <c r="A196" s="428">
        <f>SUM(A173:A195)</f>
        <v>0</v>
      </c>
      <c r="B196" s="428">
        <f>SUM(B173:B195)</f>
        <v>0</v>
      </c>
      <c r="C196" s="428"/>
      <c r="D196" s="428"/>
      <c r="E196" s="428"/>
      <c r="F196" s="428"/>
      <c r="G196" s="428"/>
      <c r="H196" s="429">
        <f>SUM(H173:H195)</f>
        <v>73833</v>
      </c>
      <c r="I196" s="429">
        <f>SUM(I173:I195)</f>
        <v>31920</v>
      </c>
      <c r="J196" s="428"/>
      <c r="K196" s="428"/>
      <c r="L196" s="430">
        <f>ROUND(SUM(L173:L195),0)</f>
        <v>113</v>
      </c>
      <c r="M196" s="430">
        <f>ROUND(SUM(M173:M195),0)</f>
        <v>67</v>
      </c>
      <c r="N196" s="324"/>
      <c r="O196" s="324"/>
      <c r="P196" s="324"/>
      <c r="Q196" s="324"/>
      <c r="R196" s="324"/>
      <c r="S196" s="324"/>
      <c r="T196" s="324"/>
      <c r="U196" s="324"/>
      <c r="V196" s="324"/>
      <c r="W196" s="324"/>
      <c r="X196" s="324"/>
      <c r="Y196" s="324"/>
      <c r="Z196" s="324"/>
      <c r="AA196" s="324"/>
      <c r="AB196" s="324"/>
      <c r="AC196" s="324"/>
      <c r="AD196" s="324"/>
      <c r="AE196" s="324"/>
      <c r="AF196" s="324"/>
      <c r="AG196" s="324"/>
      <c r="AH196" s="324"/>
      <c r="AI196" s="324"/>
      <c r="AJ196" s="324"/>
      <c r="AK196" s="324"/>
      <c r="AL196" s="324"/>
      <c r="AM196" s="324"/>
      <c r="AN196" s="324"/>
      <c r="AO196" s="324"/>
      <c r="AP196" s="324"/>
      <c r="AQ196" s="324"/>
      <c r="AR196" s="324"/>
      <c r="AS196" s="324"/>
      <c r="AT196" s="324"/>
      <c r="AU196" s="324"/>
      <c r="AV196" s="324"/>
      <c r="AW196" s="324"/>
      <c r="AX196" s="324"/>
      <c r="AY196" s="324"/>
      <c r="AZ196" s="324"/>
      <c r="BA196" s="324"/>
      <c r="BB196" s="324"/>
      <c r="BC196" s="324"/>
      <c r="BD196" s="324"/>
      <c r="BE196" s="324"/>
      <c r="BF196" s="324"/>
      <c r="BG196" s="324"/>
      <c r="BH196" s="324"/>
      <c r="BI196" s="324"/>
      <c r="BJ196" s="324"/>
      <c r="BK196" s="324"/>
      <c r="BL196" s="324"/>
      <c r="BM196" s="324"/>
      <c r="BN196" s="324"/>
      <c r="BO196" s="324"/>
      <c r="BP196" s="324"/>
      <c r="BQ196" s="324"/>
      <c r="BR196" s="324"/>
      <c r="BS196" s="324"/>
      <c r="BT196" s="324"/>
      <c r="BU196" s="324"/>
    </row>
    <row r="197" spans="1:73" s="342" customFormat="1" ht="20" customHeight="1">
      <c r="A197" s="359"/>
      <c r="B197" s="359"/>
      <c r="C197" s="359"/>
      <c r="D197" s="359"/>
      <c r="E197" s="359"/>
      <c r="F197" s="359"/>
      <c r="G197" s="359"/>
      <c r="H197" s="432">
        <f>I196</f>
        <v>31920</v>
      </c>
      <c r="I197" s="359"/>
      <c r="J197" s="359"/>
      <c r="K197" s="359"/>
      <c r="L197" s="359"/>
      <c r="M197" s="359"/>
      <c r="N197" s="324"/>
      <c r="O197" s="324"/>
      <c r="P197" s="324"/>
      <c r="Q197" s="324"/>
      <c r="R197" s="324"/>
      <c r="S197" s="324"/>
      <c r="T197" s="324"/>
      <c r="U197" s="324"/>
      <c r="V197" s="324"/>
      <c r="W197" s="324"/>
      <c r="X197" s="324"/>
      <c r="Y197" s="324"/>
      <c r="Z197" s="324"/>
      <c r="AA197" s="324"/>
      <c r="AB197" s="324"/>
      <c r="AC197" s="324"/>
      <c r="AD197" s="324"/>
      <c r="AE197" s="324"/>
      <c r="AF197" s="324"/>
      <c r="AG197" s="324"/>
      <c r="AH197" s="324"/>
      <c r="AI197" s="324"/>
      <c r="AJ197" s="324"/>
      <c r="AK197" s="324"/>
      <c r="AL197" s="324"/>
      <c r="AM197" s="324"/>
      <c r="AN197" s="324"/>
      <c r="AO197" s="324"/>
      <c r="AP197" s="324"/>
      <c r="AQ197" s="324"/>
      <c r="AR197" s="324"/>
      <c r="AS197" s="324"/>
      <c r="AT197" s="324"/>
      <c r="AU197" s="324"/>
      <c r="AV197" s="324"/>
      <c r="AW197" s="324"/>
      <c r="AX197" s="324"/>
      <c r="AY197" s="324"/>
      <c r="AZ197" s="324"/>
      <c r="BA197" s="324"/>
      <c r="BB197" s="324"/>
      <c r="BC197" s="324"/>
      <c r="BD197" s="324"/>
      <c r="BE197" s="324"/>
      <c r="BF197" s="324"/>
      <c r="BG197" s="324"/>
      <c r="BH197" s="324"/>
      <c r="BI197" s="324"/>
      <c r="BJ197" s="324"/>
      <c r="BK197" s="324"/>
      <c r="BL197" s="324"/>
      <c r="BM197" s="324"/>
      <c r="BN197" s="324"/>
      <c r="BO197" s="324"/>
      <c r="BP197" s="324"/>
      <c r="BQ197" s="324"/>
      <c r="BR197" s="324"/>
      <c r="BS197" s="324"/>
      <c r="BT197" s="324"/>
      <c r="BU197" s="324"/>
    </row>
    <row r="198" spans="1:73" s="342" customFormat="1" ht="20" customHeight="1">
      <c r="A198" s="359"/>
      <c r="B198" s="359"/>
      <c r="C198" s="359"/>
      <c r="D198" s="359"/>
      <c r="E198" s="359"/>
      <c r="F198" s="359"/>
      <c r="G198" s="369" t="s">
        <v>109</v>
      </c>
      <c r="H198" s="429">
        <f>ROUND(H196-H197,-2)</f>
        <v>41900</v>
      </c>
      <c r="I198" s="359"/>
      <c r="J198" s="359"/>
      <c r="K198" s="359"/>
      <c r="L198" s="359" t="s">
        <v>3</v>
      </c>
      <c r="M198" s="359"/>
      <c r="N198" s="324"/>
      <c r="O198" s="324"/>
      <c r="P198" s="324"/>
      <c r="Q198" s="324"/>
      <c r="R198" s="324"/>
      <c r="S198" s="324"/>
      <c r="T198" s="324"/>
      <c r="U198" s="324"/>
      <c r="V198" s="324"/>
      <c r="W198" s="324"/>
      <c r="X198" s="324"/>
      <c r="Y198" s="324"/>
      <c r="Z198" s="324"/>
      <c r="AA198" s="324"/>
      <c r="AB198" s="324"/>
      <c r="AC198" s="324"/>
      <c r="AD198" s="324"/>
      <c r="AE198" s="324"/>
      <c r="AF198" s="324"/>
      <c r="AG198" s="324"/>
      <c r="AH198" s="324"/>
      <c r="AI198" s="324"/>
      <c r="AJ198" s="324"/>
      <c r="AK198" s="324"/>
      <c r="AL198" s="324"/>
      <c r="AM198" s="324"/>
      <c r="AN198" s="324"/>
      <c r="AO198" s="324"/>
      <c r="AP198" s="324"/>
      <c r="AQ198" s="324"/>
      <c r="AR198" s="324"/>
      <c r="AS198" s="324"/>
      <c r="AT198" s="324"/>
      <c r="AU198" s="324"/>
      <c r="AV198" s="324"/>
      <c r="AW198" s="324"/>
      <c r="AX198" s="324"/>
      <c r="AY198" s="324"/>
      <c r="AZ198" s="324"/>
      <c r="BA198" s="324"/>
      <c r="BB198" s="324"/>
      <c r="BC198" s="324"/>
      <c r="BD198" s="324"/>
      <c r="BE198" s="324"/>
      <c r="BF198" s="324"/>
      <c r="BG198" s="324"/>
      <c r="BH198" s="324"/>
      <c r="BI198" s="324"/>
      <c r="BJ198" s="324"/>
      <c r="BK198" s="324"/>
      <c r="BL198" s="324"/>
      <c r="BM198" s="324"/>
      <c r="BN198" s="324"/>
      <c r="BO198" s="324"/>
      <c r="BP198" s="324"/>
      <c r="BQ198" s="324"/>
      <c r="BR198" s="324"/>
      <c r="BS198" s="324"/>
      <c r="BT198" s="324"/>
      <c r="BU198" s="324"/>
    </row>
    <row r="199" spans="1:73" s="342" customFormat="1" ht="20" customHeight="1" thickBot="1">
      <c r="A199" s="359"/>
      <c r="B199" s="359"/>
      <c r="C199" s="359"/>
      <c r="D199" s="359"/>
      <c r="E199" s="359"/>
      <c r="F199" s="359"/>
      <c r="G199" s="369" t="s">
        <v>110</v>
      </c>
      <c r="H199" s="434">
        <f>COUNT(G173:G195)</f>
        <v>19</v>
      </c>
      <c r="I199" s="359"/>
      <c r="J199" s="359"/>
      <c r="K199" s="359"/>
      <c r="L199" s="359" t="s">
        <v>404</v>
      </c>
      <c r="M199" s="359"/>
      <c r="N199" s="324"/>
      <c r="O199" s="324"/>
      <c r="P199" s="324"/>
      <c r="Q199" s="324"/>
      <c r="R199" s="324"/>
      <c r="S199" s="324"/>
      <c r="T199" s="324"/>
      <c r="U199" s="324"/>
      <c r="V199" s="324"/>
      <c r="W199" s="324"/>
      <c r="X199" s="324"/>
      <c r="Y199" s="324"/>
      <c r="Z199" s="324"/>
      <c r="AA199" s="324"/>
      <c r="AB199" s="324"/>
      <c r="AC199" s="324"/>
      <c r="AD199" s="324"/>
      <c r="AE199" s="324"/>
      <c r="AF199" s="324"/>
      <c r="AG199" s="324"/>
      <c r="AH199" s="324"/>
      <c r="AI199" s="324"/>
      <c r="AJ199" s="324"/>
      <c r="AK199" s="324"/>
      <c r="AL199" s="324"/>
      <c r="AM199" s="324"/>
      <c r="AN199" s="324"/>
      <c r="AO199" s="324"/>
      <c r="AP199" s="324"/>
      <c r="AQ199" s="324"/>
      <c r="AR199" s="324"/>
      <c r="AS199" s="324"/>
      <c r="AT199" s="324"/>
      <c r="AU199" s="324"/>
      <c r="AV199" s="324"/>
      <c r="AW199" s="324"/>
      <c r="AX199" s="324"/>
      <c r="AY199" s="324"/>
      <c r="AZ199" s="324"/>
      <c r="BA199" s="324"/>
      <c r="BB199" s="324"/>
      <c r="BC199" s="324"/>
      <c r="BD199" s="324"/>
      <c r="BE199" s="324"/>
      <c r="BF199" s="324"/>
      <c r="BG199" s="324"/>
      <c r="BH199" s="324"/>
      <c r="BI199" s="324"/>
      <c r="BJ199" s="324"/>
      <c r="BK199" s="324"/>
      <c r="BL199" s="324"/>
      <c r="BM199" s="324"/>
      <c r="BN199" s="324"/>
      <c r="BO199" s="324"/>
      <c r="BP199" s="324"/>
      <c r="BQ199" s="324"/>
      <c r="BR199" s="324"/>
      <c r="BS199" s="324"/>
      <c r="BT199" s="324"/>
      <c r="BU199" s="324"/>
    </row>
    <row r="200" spans="1:73" s="342" customFormat="1" ht="20" customHeight="1" thickBot="1">
      <c r="A200" s="359"/>
      <c r="B200" s="359"/>
      <c r="C200" s="359"/>
      <c r="D200" s="359"/>
      <c r="E200" s="359"/>
      <c r="F200" s="359"/>
      <c r="G200" s="369" t="s">
        <v>112</v>
      </c>
      <c r="H200" s="435">
        <f>IF(H199&gt;0,H198/H199,0)</f>
        <v>2205.2631578947367</v>
      </c>
      <c r="I200" s="359"/>
      <c r="J200" s="359"/>
      <c r="K200" s="359"/>
      <c r="L200" s="436">
        <f>L196+AE167</f>
        <v>1480</v>
      </c>
      <c r="M200" s="359"/>
      <c r="N200" s="324"/>
      <c r="O200" s="324"/>
      <c r="P200" s="324"/>
      <c r="Q200" s="324"/>
      <c r="R200" s="324"/>
      <c r="S200" s="324"/>
      <c r="T200" s="324"/>
      <c r="U200" s="324"/>
      <c r="V200" s="324"/>
      <c r="W200" s="324"/>
      <c r="X200" s="324"/>
      <c r="Y200" s="324"/>
      <c r="Z200" s="324"/>
      <c r="AA200" s="324"/>
      <c r="AB200" s="324"/>
      <c r="AC200" s="324"/>
      <c r="AD200" s="324"/>
      <c r="AE200" s="324"/>
      <c r="AF200" s="324"/>
      <c r="AG200" s="324"/>
      <c r="AH200" s="324"/>
      <c r="AI200" s="324"/>
      <c r="AJ200" s="324"/>
      <c r="AK200" s="324"/>
      <c r="AL200" s="324"/>
      <c r="AM200" s="324"/>
      <c r="AN200" s="324"/>
      <c r="AO200" s="324"/>
      <c r="AP200" s="324"/>
      <c r="AQ200" s="324"/>
      <c r="AR200" s="324"/>
      <c r="AS200" s="324"/>
      <c r="AT200" s="324"/>
      <c r="AU200" s="324"/>
      <c r="AV200" s="324"/>
      <c r="AW200" s="324"/>
      <c r="AX200" s="324"/>
      <c r="AY200" s="324"/>
      <c r="AZ200" s="324"/>
      <c r="BA200" s="324"/>
      <c r="BB200" s="324"/>
      <c r="BC200" s="324"/>
      <c r="BD200" s="324"/>
      <c r="BE200" s="324"/>
      <c r="BF200" s="324"/>
      <c r="BG200" s="324"/>
      <c r="BH200" s="324"/>
      <c r="BI200" s="324"/>
      <c r="BJ200" s="324"/>
      <c r="BK200" s="324"/>
      <c r="BL200" s="324"/>
      <c r="BM200" s="324"/>
      <c r="BN200" s="324"/>
      <c r="BO200" s="324"/>
      <c r="BP200" s="324"/>
      <c r="BQ200" s="324"/>
      <c r="BR200" s="324"/>
      <c r="BS200" s="324"/>
      <c r="BT200" s="324"/>
      <c r="BU200" s="324"/>
    </row>
    <row r="201" spans="1:73">
      <c r="A201" s="302"/>
      <c r="B201" s="302"/>
      <c r="C201" s="302"/>
      <c r="D201" s="302"/>
      <c r="E201" s="302"/>
      <c r="F201" s="302"/>
      <c r="G201" s="302"/>
      <c r="H201" s="304"/>
      <c r="I201" s="302"/>
      <c r="J201" s="302"/>
      <c r="K201" s="302"/>
      <c r="L201" s="302"/>
      <c r="M201" s="302"/>
      <c r="N201" s="302"/>
      <c r="O201" s="302"/>
      <c r="P201" s="302"/>
      <c r="Q201" s="302"/>
      <c r="R201" s="302"/>
      <c r="S201" s="302"/>
      <c r="T201" s="302"/>
      <c r="U201" s="302"/>
      <c r="V201" s="302"/>
      <c r="W201" s="302"/>
      <c r="X201" s="302"/>
      <c r="Y201" s="302"/>
      <c r="Z201" s="302"/>
      <c r="AA201" s="302"/>
      <c r="AB201" s="302"/>
      <c r="AC201" s="302"/>
      <c r="AD201" s="302"/>
      <c r="AE201" s="302"/>
      <c r="AF201" s="302"/>
      <c r="AG201" s="302"/>
      <c r="AH201" s="302"/>
      <c r="AI201" s="302"/>
      <c r="AJ201" s="302"/>
      <c r="AK201" s="302"/>
      <c r="AL201" s="302"/>
      <c r="AM201" s="302"/>
      <c r="AN201" s="302"/>
      <c r="AO201" s="302"/>
      <c r="AP201" s="302"/>
      <c r="AQ201" s="302"/>
      <c r="AR201" s="302"/>
      <c r="AS201" s="302"/>
      <c r="AT201" s="302"/>
      <c r="AU201" s="302"/>
      <c r="AV201" s="302"/>
      <c r="AW201" s="302"/>
      <c r="AX201" s="302"/>
      <c r="AY201" s="302"/>
      <c r="AZ201" s="302"/>
      <c r="BA201" s="302"/>
      <c r="BB201" s="302"/>
      <c r="BC201" s="302"/>
      <c r="BD201" s="302"/>
      <c r="BE201" s="302"/>
      <c r="BF201" s="302"/>
      <c r="BG201" s="302"/>
      <c r="BH201" s="302"/>
      <c r="BI201" s="302"/>
      <c r="BJ201" s="302"/>
      <c r="BK201" s="302"/>
      <c r="BL201" s="302"/>
      <c r="BM201" s="302"/>
      <c r="BN201" s="302"/>
      <c r="BO201" s="302"/>
      <c r="BP201" s="302"/>
      <c r="BQ201" s="302"/>
      <c r="BR201" s="302"/>
      <c r="BS201" s="302"/>
      <c r="BT201" s="302"/>
      <c r="BU201" s="302"/>
    </row>
    <row r="202" spans="1:73">
      <c r="A202" s="302"/>
      <c r="B202" s="302"/>
      <c r="C202" s="302"/>
      <c r="D202" s="302"/>
      <c r="E202" s="302"/>
      <c r="F202" s="302"/>
      <c r="G202" s="302"/>
      <c r="H202" s="302"/>
      <c r="I202" s="302"/>
      <c r="J202" s="302"/>
      <c r="K202" s="302"/>
      <c r="L202" s="302"/>
      <c r="M202" s="302"/>
      <c r="N202" s="302"/>
      <c r="O202" s="302"/>
      <c r="P202" s="302"/>
      <c r="Q202" s="302"/>
      <c r="R202" s="302"/>
      <c r="S202" s="302"/>
      <c r="T202" s="302"/>
      <c r="U202" s="302"/>
      <c r="V202" s="302"/>
      <c r="W202" s="302"/>
      <c r="X202" s="302"/>
      <c r="Y202" s="302"/>
      <c r="Z202" s="302"/>
      <c r="AA202" s="302"/>
      <c r="AB202" s="302"/>
      <c r="AC202" s="302"/>
      <c r="AD202" s="302"/>
      <c r="AE202" s="302"/>
      <c r="AF202" s="302"/>
      <c r="AG202" s="302"/>
      <c r="AH202" s="302"/>
      <c r="AI202" s="302"/>
      <c r="AJ202" s="302"/>
      <c r="AK202" s="302"/>
      <c r="AL202" s="302"/>
      <c r="AM202" s="302"/>
      <c r="AN202" s="302"/>
      <c r="AO202" s="302"/>
      <c r="AP202" s="302"/>
      <c r="AQ202" s="302"/>
      <c r="AR202" s="302"/>
      <c r="AS202" s="302"/>
      <c r="AT202" s="302"/>
      <c r="AU202" s="302"/>
      <c r="AV202" s="302"/>
      <c r="AW202" s="302"/>
      <c r="AX202" s="302"/>
      <c r="AY202" s="302"/>
      <c r="AZ202" s="302"/>
      <c r="BA202" s="302"/>
      <c r="BB202" s="302"/>
      <c r="BC202" s="302"/>
      <c r="BD202" s="302"/>
      <c r="BE202" s="302"/>
      <c r="BF202" s="302"/>
      <c r="BG202" s="302"/>
      <c r="BH202" s="302"/>
      <c r="BI202" s="302"/>
      <c r="BJ202" s="302"/>
      <c r="BK202" s="302"/>
      <c r="BL202" s="302"/>
      <c r="BM202" s="302"/>
      <c r="BN202" s="302"/>
      <c r="BO202" s="302"/>
      <c r="BP202" s="302"/>
      <c r="BQ202" s="302"/>
      <c r="BR202" s="302"/>
      <c r="BS202" s="302"/>
      <c r="BT202" s="302"/>
      <c r="BU202" s="302"/>
    </row>
    <row r="203" spans="1:73">
      <c r="A203" s="302"/>
      <c r="B203" s="302"/>
      <c r="C203" s="302"/>
      <c r="D203" s="302"/>
      <c r="E203" s="302"/>
      <c r="F203" s="302"/>
      <c r="G203" s="302"/>
      <c r="H203" s="302"/>
      <c r="I203" s="302"/>
      <c r="J203" s="302"/>
      <c r="K203" s="302"/>
      <c r="L203" s="302"/>
      <c r="M203" s="302"/>
      <c r="N203" s="302"/>
      <c r="O203" s="302"/>
      <c r="P203" s="302"/>
      <c r="Q203" s="302"/>
      <c r="R203" s="302"/>
      <c r="S203" s="302"/>
      <c r="T203" s="302"/>
      <c r="U203" s="302"/>
      <c r="V203" s="302"/>
      <c r="W203" s="302"/>
      <c r="X203" s="302"/>
      <c r="Y203" s="302"/>
      <c r="Z203" s="302"/>
      <c r="AA203" s="302"/>
      <c r="AB203" s="302"/>
      <c r="AC203" s="302"/>
      <c r="AD203" s="302"/>
      <c r="AE203" s="302"/>
      <c r="AF203" s="302"/>
      <c r="AG203" s="302"/>
      <c r="AH203" s="302"/>
      <c r="AI203" s="302"/>
      <c r="AJ203" s="302"/>
      <c r="AK203" s="302"/>
      <c r="AL203" s="302"/>
      <c r="AM203" s="302"/>
      <c r="AN203" s="302"/>
      <c r="AO203" s="302"/>
      <c r="AP203" s="302"/>
      <c r="AQ203" s="302"/>
      <c r="AR203" s="302"/>
      <c r="AS203" s="302"/>
      <c r="AT203" s="302"/>
      <c r="AU203" s="302"/>
      <c r="AV203" s="302"/>
      <c r="AW203" s="302"/>
      <c r="AX203" s="302"/>
      <c r="AY203" s="302"/>
      <c r="AZ203" s="302"/>
      <c r="BA203" s="302"/>
      <c r="BB203" s="302"/>
      <c r="BC203" s="302"/>
      <c r="BD203" s="302"/>
      <c r="BE203" s="302"/>
      <c r="BF203" s="302"/>
      <c r="BG203" s="302"/>
      <c r="BH203" s="302"/>
      <c r="BI203" s="302"/>
      <c r="BJ203" s="302"/>
      <c r="BK203" s="302"/>
      <c r="BL203" s="302"/>
      <c r="BM203" s="302"/>
      <c r="BN203" s="302"/>
      <c r="BO203" s="302"/>
      <c r="BP203" s="302"/>
      <c r="BQ203" s="302"/>
      <c r="BR203" s="302"/>
      <c r="BS203" s="302"/>
      <c r="BT203" s="302"/>
      <c r="BU203" s="302"/>
    </row>
    <row r="205" spans="1:73" ht="14" thickBot="1">
      <c r="D205" s="450" t="s">
        <v>405</v>
      </c>
      <c r="E205" s="450"/>
      <c r="F205" s="450"/>
      <c r="G205" s="450"/>
      <c r="H205" s="450"/>
      <c r="I205" s="450"/>
      <c r="J205" s="450"/>
      <c r="K205" s="450"/>
      <c r="L205" s="450"/>
      <c r="M205" s="450"/>
      <c r="N205" s="450"/>
      <c r="O205" s="450"/>
      <c r="P205" s="450"/>
      <c r="Q205" s="450"/>
      <c r="R205" s="450"/>
      <c r="S205" s="450"/>
      <c r="T205" s="450"/>
      <c r="U205" s="450"/>
    </row>
    <row r="206" spans="1:73" ht="14" thickBot="1">
      <c r="D206" s="450"/>
      <c r="E206" s="450"/>
      <c r="F206" s="450"/>
      <c r="G206" s="450"/>
      <c r="H206" s="450"/>
      <c r="I206" s="450"/>
      <c r="J206" s="450"/>
      <c r="K206" s="450"/>
      <c r="L206" s="450"/>
      <c r="M206" s="450" t="s">
        <v>406</v>
      </c>
      <c r="N206" s="450"/>
      <c r="O206" s="450"/>
      <c r="P206" s="450"/>
      <c r="Q206" s="1183" t="s">
        <v>407</v>
      </c>
      <c r="R206" s="1184"/>
      <c r="S206" s="1184"/>
      <c r="T206" s="1184"/>
      <c r="U206" s="1185"/>
    </row>
    <row r="207" spans="1:73" ht="14" thickBot="1">
      <c r="D207" s="450" t="s">
        <v>408</v>
      </c>
      <c r="E207" s="450"/>
      <c r="F207" s="450" t="s">
        <v>409</v>
      </c>
      <c r="G207" s="450"/>
      <c r="H207" s="450" t="s">
        <v>410</v>
      </c>
      <c r="I207" s="450"/>
      <c r="J207" s="450"/>
      <c r="K207" s="450" t="s">
        <v>411</v>
      </c>
      <c r="L207" s="450"/>
      <c r="M207" s="450" t="s">
        <v>412</v>
      </c>
      <c r="N207" s="450"/>
      <c r="O207" s="450" t="s">
        <v>413</v>
      </c>
      <c r="P207" s="450"/>
      <c r="Q207" s="513" t="s">
        <v>414</v>
      </c>
      <c r="R207" s="514"/>
      <c r="S207" s="514" t="s">
        <v>38</v>
      </c>
      <c r="T207" s="514"/>
      <c r="U207" s="515" t="s">
        <v>413</v>
      </c>
    </row>
    <row r="209" spans="3:21">
      <c r="C209" s="306">
        <v>1</v>
      </c>
      <c r="D209" s="306" t="s">
        <v>415</v>
      </c>
      <c r="F209" s="306" t="s">
        <v>416</v>
      </c>
      <c r="H209" s="306">
        <v>39118</v>
      </c>
      <c r="K209" s="306">
        <v>149</v>
      </c>
      <c r="M209" s="306">
        <v>696</v>
      </c>
      <c r="O209" s="306">
        <v>9.3849999999999998</v>
      </c>
      <c r="Q209" s="306">
        <f>ROUND($H209/K209,)</f>
        <v>263</v>
      </c>
      <c r="S209" s="306">
        <f>ROUND($H209/M209,)</f>
        <v>56</v>
      </c>
      <c r="U209" s="306">
        <f>ROUND($H209/O209,)</f>
        <v>4168</v>
      </c>
    </row>
    <row r="211" spans="3:21">
      <c r="C211" s="306">
        <v>2</v>
      </c>
      <c r="D211" s="306" t="s">
        <v>417</v>
      </c>
      <c r="F211" s="306" t="s">
        <v>418</v>
      </c>
      <c r="H211" s="306">
        <v>39500</v>
      </c>
      <c r="K211" s="306">
        <v>30</v>
      </c>
      <c r="M211" s="306">
        <v>173</v>
      </c>
      <c r="O211" s="306">
        <v>2.75</v>
      </c>
      <c r="Q211" s="306">
        <f>ROUND($H211/K211,)</f>
        <v>1317</v>
      </c>
      <c r="S211" s="306">
        <f>ROUND($H211/M211,)</f>
        <v>228</v>
      </c>
      <c r="U211" s="306">
        <f>ROUND($H211/O211,)</f>
        <v>14364</v>
      </c>
    </row>
    <row r="213" spans="3:21">
      <c r="C213" s="306">
        <v>3</v>
      </c>
      <c r="D213" s="306" t="s">
        <v>419</v>
      </c>
      <c r="F213" s="306" t="s">
        <v>416</v>
      </c>
      <c r="H213" s="306">
        <v>34171</v>
      </c>
      <c r="K213" s="306">
        <v>114</v>
      </c>
      <c r="M213" s="306">
        <v>527</v>
      </c>
      <c r="O213" s="306">
        <v>7.22</v>
      </c>
      <c r="Q213" s="306">
        <f>ROUND($H213/K213,)</f>
        <v>300</v>
      </c>
      <c r="S213" s="306">
        <f>ROUND($H213/M213,)</f>
        <v>65</v>
      </c>
      <c r="U213" s="306">
        <f>ROUND($H213/O213,)</f>
        <v>4733</v>
      </c>
    </row>
    <row r="215" spans="3:21">
      <c r="C215" s="306">
        <v>4</v>
      </c>
      <c r="D215" s="306" t="s">
        <v>420</v>
      </c>
      <c r="F215" s="306" t="s">
        <v>416</v>
      </c>
      <c r="H215" s="306">
        <v>84387</v>
      </c>
      <c r="K215" s="306">
        <v>113</v>
      </c>
      <c r="M215" s="306">
        <v>701</v>
      </c>
      <c r="O215" s="306">
        <v>7.3949999999999996</v>
      </c>
      <c r="Q215" s="306">
        <f>ROUND($H215/K215,)</f>
        <v>747</v>
      </c>
      <c r="S215" s="306">
        <f>ROUND($H215/M215,)</f>
        <v>120</v>
      </c>
      <c r="U215" s="306">
        <f>ROUND($H215/O215,)</f>
        <v>11411</v>
      </c>
    </row>
    <row r="217" spans="3:21">
      <c r="C217" s="306">
        <v>5</v>
      </c>
      <c r="D217" s="306" t="s">
        <v>421</v>
      </c>
      <c r="F217" s="306" t="s">
        <v>416</v>
      </c>
      <c r="H217" s="306">
        <v>83225</v>
      </c>
      <c r="K217" s="306">
        <v>94</v>
      </c>
      <c r="M217" s="306">
        <v>626</v>
      </c>
      <c r="O217" s="306">
        <v>6.52</v>
      </c>
      <c r="Q217" s="306">
        <f>ROUND($H217/K217,)</f>
        <v>885</v>
      </c>
      <c r="S217" s="306">
        <f>ROUND($H217/M217,)</f>
        <v>133</v>
      </c>
      <c r="U217" s="306">
        <f>ROUND($H217/O217,)</f>
        <v>12765</v>
      </c>
    </row>
    <row r="219" spans="3:21">
      <c r="C219" s="306">
        <v>6</v>
      </c>
      <c r="D219" s="306" t="s">
        <v>422</v>
      </c>
      <c r="F219" s="306" t="s">
        <v>416</v>
      </c>
      <c r="H219" s="306">
        <v>173160</v>
      </c>
      <c r="K219" s="306">
        <v>129</v>
      </c>
      <c r="M219" s="306">
        <v>926</v>
      </c>
      <c r="O219" s="306">
        <v>9.0500000000000007</v>
      </c>
      <c r="Q219" s="306">
        <f>ROUND($H219/K219,)</f>
        <v>1342</v>
      </c>
      <c r="S219" s="306">
        <f>ROUND($H219/M219,)</f>
        <v>187</v>
      </c>
      <c r="U219" s="306">
        <f>ROUND($H219/O219,)</f>
        <v>19134</v>
      </c>
    </row>
    <row r="221" spans="3:21">
      <c r="C221" s="306">
        <v>7</v>
      </c>
      <c r="D221" s="306" t="s">
        <v>423</v>
      </c>
      <c r="F221" s="306" t="s">
        <v>416</v>
      </c>
      <c r="H221" s="306">
        <v>12115</v>
      </c>
      <c r="K221" s="306">
        <v>36</v>
      </c>
      <c r="M221" s="306">
        <v>165</v>
      </c>
      <c r="O221" s="306">
        <v>2.08</v>
      </c>
      <c r="Q221" s="306">
        <f>ROUND($H221/K221,)</f>
        <v>337</v>
      </c>
      <c r="S221" s="306">
        <f>ROUND($H221/M221,)</f>
        <v>73</v>
      </c>
      <c r="U221" s="306">
        <f>ROUND($H221/O221,)</f>
        <v>5825</v>
      </c>
    </row>
    <row r="223" spans="3:21">
      <c r="C223" s="306">
        <v>8</v>
      </c>
      <c r="D223" s="306" t="s">
        <v>424</v>
      </c>
      <c r="F223" s="306" t="s">
        <v>416</v>
      </c>
      <c r="H223" s="306">
        <v>221816</v>
      </c>
      <c r="K223" s="306">
        <v>91</v>
      </c>
      <c r="M223" s="306">
        <v>596</v>
      </c>
      <c r="O223" s="306">
        <v>7.17</v>
      </c>
      <c r="Q223" s="306">
        <f>ROUND($H223/K223,)</f>
        <v>2438</v>
      </c>
      <c r="S223" s="306">
        <f>ROUND($H223/M223,)</f>
        <v>372</v>
      </c>
      <c r="U223" s="306">
        <f>ROUND($H223/O223,)</f>
        <v>30937</v>
      </c>
    </row>
    <row r="225" spans="3:28">
      <c r="C225" s="306">
        <v>9</v>
      </c>
      <c r="D225" s="306" t="s">
        <v>425</v>
      </c>
      <c r="F225" s="306" t="s">
        <v>189</v>
      </c>
      <c r="H225" s="306">
        <v>398817</v>
      </c>
      <c r="K225" s="306">
        <v>104</v>
      </c>
      <c r="M225" s="306">
        <v>644</v>
      </c>
      <c r="O225" s="306">
        <v>7.59</v>
      </c>
      <c r="Q225" s="306">
        <f>ROUND($H225/K225,)</f>
        <v>3835</v>
      </c>
      <c r="S225" s="306">
        <f>ROUND($H225/M225,)</f>
        <v>619</v>
      </c>
      <c r="U225" s="306">
        <f>ROUND($H225/O225,)</f>
        <v>52545</v>
      </c>
    </row>
    <row r="227" spans="3:28">
      <c r="C227" s="306">
        <v>10</v>
      </c>
      <c r="D227" s="306" t="s">
        <v>426</v>
      </c>
      <c r="F227" s="306" t="s">
        <v>416</v>
      </c>
      <c r="H227" s="306">
        <v>116795</v>
      </c>
      <c r="K227" s="306">
        <v>175</v>
      </c>
      <c r="M227" s="306">
        <v>990</v>
      </c>
      <c r="O227" s="306">
        <v>10.37</v>
      </c>
      <c r="Q227" s="306">
        <f>ROUND($H227/K227,)</f>
        <v>667</v>
      </c>
      <c r="S227" s="306">
        <f>ROUND($H227/M227,)</f>
        <v>118</v>
      </c>
      <c r="U227" s="306">
        <f>ROUND($H227/O227,)</f>
        <v>11263</v>
      </c>
    </row>
    <row r="228" spans="3:28" ht="14" thickBot="1"/>
    <row r="229" spans="3:28" ht="14" thickBot="1">
      <c r="C229" s="306">
        <v>11</v>
      </c>
      <c r="D229" s="306" t="s">
        <v>427</v>
      </c>
      <c r="F229" s="306" t="s">
        <v>418</v>
      </c>
      <c r="H229" s="306">
        <v>156609</v>
      </c>
      <c r="K229" s="306">
        <v>84</v>
      </c>
      <c r="M229" s="306">
        <v>651</v>
      </c>
      <c r="O229" s="306">
        <v>5.36</v>
      </c>
      <c r="Q229" s="306">
        <f>ROUND($H229/K229,)</f>
        <v>1864</v>
      </c>
      <c r="S229" s="306">
        <f>ROUND($H229/M229,)</f>
        <v>241</v>
      </c>
      <c r="U229" s="306">
        <f>ROUND($H229/O229,)</f>
        <v>29218</v>
      </c>
      <c r="W229" s="1183" t="s">
        <v>407</v>
      </c>
      <c r="X229" s="1184"/>
      <c r="Y229" s="1184"/>
      <c r="Z229" s="1184"/>
      <c r="AA229" s="1185"/>
    </row>
    <row r="230" spans="3:28" ht="14" thickBot="1">
      <c r="W230" s="513" t="s">
        <v>414</v>
      </c>
      <c r="X230" s="514"/>
      <c r="Y230" s="514" t="s">
        <v>38</v>
      </c>
      <c r="Z230" s="514"/>
      <c r="AA230" s="515" t="s">
        <v>413</v>
      </c>
    </row>
    <row r="231" spans="3:28">
      <c r="C231" s="450" t="s">
        <v>58</v>
      </c>
      <c r="D231" s="450"/>
      <c r="E231" s="450"/>
      <c r="F231" s="450"/>
      <c r="G231" s="450"/>
      <c r="H231" s="450"/>
      <c r="I231" s="450"/>
      <c r="J231" s="450"/>
      <c r="K231" s="450"/>
      <c r="L231" s="450"/>
      <c r="M231" s="450"/>
      <c r="N231" s="450"/>
      <c r="O231" s="450"/>
      <c r="P231" s="450"/>
      <c r="Q231" s="516">
        <f>AVERAGE(Q209:Q230)</f>
        <v>1272.2727272727273</v>
      </c>
      <c r="R231" s="450"/>
      <c r="S231" s="516">
        <f>AVERAGE(S209:S230)</f>
        <v>201.09090909090909</v>
      </c>
      <c r="T231" s="450"/>
      <c r="U231" s="516">
        <f>AVERAGE(U209:U230)</f>
        <v>17851.18181818182</v>
      </c>
      <c r="W231" s="517">
        <f>(Q209+Q213+Q215+Q217+Q219+Q221+Q223+Q227)/8</f>
        <v>872.375</v>
      </c>
      <c r="X231" s="517">
        <f>(Q211+Q225+Q229)/3</f>
        <v>2338.6666666666665</v>
      </c>
      <c r="Y231" s="517">
        <f>(S209+S213+S215+S217+S219+S221+S223+S227)/8</f>
        <v>140.5</v>
      </c>
      <c r="Z231" s="517">
        <f>(S211+S225+S229)/3</f>
        <v>362.66666666666669</v>
      </c>
      <c r="AA231" s="517">
        <f>(U209+U213+U215+U217+U219+U221+U223+U227)/8</f>
        <v>12529.5</v>
      </c>
      <c r="AB231" s="517">
        <f>(U211+U225+U229)/3</f>
        <v>32042.333333333332</v>
      </c>
    </row>
    <row r="232" spans="3:28">
      <c r="W232" s="306" t="s">
        <v>416</v>
      </c>
      <c r="X232" s="306" t="s">
        <v>189</v>
      </c>
      <c r="Y232" s="306" t="s">
        <v>416</v>
      </c>
      <c r="Z232" s="306" t="s">
        <v>189</v>
      </c>
      <c r="AA232" s="306" t="s">
        <v>416</v>
      </c>
      <c r="AB232" s="306" t="s">
        <v>189</v>
      </c>
    </row>
    <row r="234" spans="3:28">
      <c r="F234" s="306" t="s">
        <v>428</v>
      </c>
    </row>
    <row r="241" spans="1:8">
      <c r="A241" s="450" t="s">
        <v>429</v>
      </c>
    </row>
    <row r="244" spans="1:8">
      <c r="B244" s="306" t="s">
        <v>38</v>
      </c>
      <c r="F244" s="306">
        <v>100</v>
      </c>
    </row>
    <row r="245" spans="1:8">
      <c r="B245" s="306" t="s">
        <v>430</v>
      </c>
      <c r="E245" s="518" t="s">
        <v>431</v>
      </c>
      <c r="F245" s="306">
        <f>ROUNDUP(F244/20,0)</f>
        <v>5</v>
      </c>
      <c r="G245" s="306">
        <v>550</v>
      </c>
      <c r="H245" s="306">
        <f>F245*G245</f>
        <v>2750</v>
      </c>
    </row>
    <row r="246" spans="1:8">
      <c r="B246" s="306" t="s">
        <v>432</v>
      </c>
      <c r="E246" s="518" t="s">
        <v>433</v>
      </c>
      <c r="F246" s="306">
        <f>F245*10</f>
        <v>50</v>
      </c>
      <c r="G246" s="306">
        <v>35</v>
      </c>
      <c r="H246" s="306">
        <f>F246*G246</f>
        <v>1750</v>
      </c>
    </row>
    <row r="247" spans="1:8">
      <c r="B247" s="306" t="s">
        <v>434</v>
      </c>
      <c r="E247" s="518" t="s">
        <v>435</v>
      </c>
      <c r="F247" s="306">
        <f>ROUNDUP(F244/10,0)</f>
        <v>10</v>
      </c>
      <c r="G247" s="306">
        <v>675</v>
      </c>
      <c r="H247" s="306">
        <f>F247*G247</f>
        <v>6750</v>
      </c>
    </row>
    <row r="248" spans="1:8">
      <c r="B248" s="306" t="s">
        <v>436</v>
      </c>
      <c r="H248" s="306">
        <f>O45</f>
        <v>101043</v>
      </c>
    </row>
    <row r="250" spans="1:8">
      <c r="H250" s="306">
        <f>SUM(H244:H249)</f>
        <v>112293</v>
      </c>
    </row>
    <row r="253" spans="1:8">
      <c r="A253" s="450" t="s">
        <v>437</v>
      </c>
    </row>
    <row r="254" spans="1:8">
      <c r="A254" s="306" t="s">
        <v>438</v>
      </c>
      <c r="H254" s="519"/>
    </row>
    <row r="255" spans="1:8">
      <c r="H255" s="519"/>
    </row>
    <row r="256" spans="1:8">
      <c r="A256" s="520" t="s">
        <v>439</v>
      </c>
      <c r="B256" s="520"/>
      <c r="C256" s="520"/>
      <c r="D256" s="520">
        <f>60*20*1</f>
        <v>1200</v>
      </c>
      <c r="E256" s="520" t="s">
        <v>18</v>
      </c>
      <c r="H256" s="519"/>
    </row>
    <row r="257" spans="1:8">
      <c r="H257" s="519"/>
    </row>
    <row r="258" spans="1:8">
      <c r="A258" s="306" t="s">
        <v>440</v>
      </c>
      <c r="D258" s="306">
        <f>ROUND((60+2)*(20+2)*(1+1+0.3),0)</f>
        <v>3137</v>
      </c>
      <c r="E258" s="306" t="s">
        <v>18</v>
      </c>
      <c r="F258" s="306">
        <v>8</v>
      </c>
      <c r="H258" s="519">
        <f>D258*F258</f>
        <v>25096</v>
      </c>
    </row>
    <row r="259" spans="1:8">
      <c r="H259" s="519"/>
    </row>
    <row r="260" spans="1:8">
      <c r="A260" s="306" t="s">
        <v>441</v>
      </c>
      <c r="D260" s="306">
        <f>60*20+D262+D280</f>
        <v>1992</v>
      </c>
      <c r="E260" s="306" t="s">
        <v>18</v>
      </c>
      <c r="F260" s="306">
        <v>5</v>
      </c>
      <c r="H260" s="519">
        <f>D260*F260</f>
        <v>9960</v>
      </c>
    </row>
    <row r="261" spans="1:8">
      <c r="H261" s="519"/>
    </row>
    <row r="262" spans="1:8">
      <c r="A262" s="306" t="s">
        <v>442</v>
      </c>
      <c r="D262" s="306">
        <f>ROUND(((60+1)*(20+1))*0.3,0)</f>
        <v>384</v>
      </c>
      <c r="E262" s="306" t="s">
        <v>18</v>
      </c>
      <c r="F262" s="306">
        <v>45</v>
      </c>
      <c r="H262" s="519">
        <f>D262*F262</f>
        <v>17280</v>
      </c>
    </row>
    <row r="263" spans="1:8">
      <c r="H263" s="519"/>
    </row>
    <row r="264" spans="1:8">
      <c r="A264" s="306" t="s">
        <v>443</v>
      </c>
      <c r="D264" s="306">
        <f>(60+1)*(20+1)</f>
        <v>1281</v>
      </c>
      <c r="E264" s="306" t="s">
        <v>39</v>
      </c>
      <c r="F264" s="306">
        <v>1</v>
      </c>
      <c r="H264" s="519">
        <f>D264*F264</f>
        <v>1281</v>
      </c>
    </row>
    <row r="265" spans="1:8">
      <c r="H265" s="519"/>
    </row>
    <row r="266" spans="1:8">
      <c r="A266" s="306" t="s">
        <v>444</v>
      </c>
      <c r="D266" s="306">
        <f>D256</f>
        <v>1200</v>
      </c>
      <c r="E266" s="306" t="s">
        <v>18</v>
      </c>
      <c r="F266" s="306">
        <v>100</v>
      </c>
      <c r="H266" s="519">
        <f>D266*F266</f>
        <v>120000</v>
      </c>
    </row>
    <row r="267" spans="1:8">
      <c r="H267" s="519"/>
    </row>
    <row r="268" spans="1:8">
      <c r="A268" s="306" t="s">
        <v>445</v>
      </c>
      <c r="D268" s="306">
        <f>D266</f>
        <v>1200</v>
      </c>
      <c r="E268" s="306" t="str">
        <f>E266</f>
        <v>m3</v>
      </c>
      <c r="F268" s="306">
        <v>10</v>
      </c>
      <c r="H268" s="519">
        <f>D268*F268</f>
        <v>12000</v>
      </c>
    </row>
    <row r="269" spans="1:8">
      <c r="H269" s="519"/>
    </row>
    <row r="270" spans="1:8">
      <c r="A270" s="306" t="s">
        <v>446</v>
      </c>
      <c r="D270" s="306">
        <f>(61*21*2)+(60*1*2)+(20*1*2)</f>
        <v>2722</v>
      </c>
      <c r="E270" s="306" t="s">
        <v>39</v>
      </c>
      <c r="F270" s="306">
        <v>3</v>
      </c>
      <c r="H270" s="519">
        <f>D270*F270</f>
        <v>8166</v>
      </c>
    </row>
    <row r="271" spans="1:8">
      <c r="H271" s="519"/>
    </row>
    <row r="272" spans="1:8">
      <c r="A272" s="306" t="s">
        <v>447</v>
      </c>
      <c r="D272" s="306">
        <f>(20/1.2*60*2)+(60*2)+(20*2)</f>
        <v>2160</v>
      </c>
      <c r="E272" s="306" t="s">
        <v>4</v>
      </c>
      <c r="F272" s="306">
        <v>2</v>
      </c>
      <c r="H272" s="519">
        <f>D272*F272</f>
        <v>4320</v>
      </c>
    </row>
    <row r="273" spans="1:11">
      <c r="H273" s="519"/>
    </row>
    <row r="274" spans="1:11">
      <c r="A274" s="306" t="s">
        <v>448</v>
      </c>
      <c r="D274" s="306">
        <v>1</v>
      </c>
      <c r="E274" s="306" t="s">
        <v>449</v>
      </c>
      <c r="F274" s="306">
        <v>2500</v>
      </c>
      <c r="H274" s="519">
        <f>D274*F274</f>
        <v>2500</v>
      </c>
    </row>
    <row r="275" spans="1:11">
      <c r="H275" s="519"/>
    </row>
    <row r="276" spans="1:11">
      <c r="A276" s="306" t="s">
        <v>450</v>
      </c>
      <c r="D276" s="306">
        <f>70*3</f>
        <v>210</v>
      </c>
      <c r="E276" s="306" t="s">
        <v>4</v>
      </c>
      <c r="F276" s="306">
        <v>40</v>
      </c>
      <c r="H276" s="519">
        <f>D276*F276</f>
        <v>8400</v>
      </c>
    </row>
    <row r="277" spans="1:11">
      <c r="H277" s="519"/>
    </row>
    <row r="278" spans="1:11">
      <c r="A278" s="306" t="s">
        <v>451</v>
      </c>
      <c r="D278" s="306">
        <f>60*3</f>
        <v>180</v>
      </c>
      <c r="E278" s="306" t="s">
        <v>4</v>
      </c>
      <c r="F278" s="306">
        <v>25</v>
      </c>
      <c r="H278" s="519">
        <f>D278*F278</f>
        <v>4500</v>
      </c>
    </row>
    <row r="279" spans="1:11">
      <c r="H279" s="519"/>
    </row>
    <row r="280" spans="1:11">
      <c r="A280" s="306" t="s">
        <v>452</v>
      </c>
      <c r="D280" s="306">
        <f>((60*20)+(60*1*2)+(20*1*2))*0.3</f>
        <v>408</v>
      </c>
      <c r="E280" s="306" t="s">
        <v>18</v>
      </c>
      <c r="F280" s="306">
        <v>45</v>
      </c>
      <c r="H280" s="519">
        <f>D280*F280</f>
        <v>18360</v>
      </c>
    </row>
    <row r="281" spans="1:11">
      <c r="H281" s="519"/>
    </row>
    <row r="282" spans="1:11">
      <c r="A282" s="306" t="s">
        <v>453</v>
      </c>
      <c r="D282" s="306">
        <f>D258-D260</f>
        <v>1145</v>
      </c>
      <c r="E282" s="306" t="s">
        <v>18</v>
      </c>
      <c r="F282" s="306">
        <v>5</v>
      </c>
      <c r="H282" s="519">
        <f>D282*F282</f>
        <v>5725</v>
      </c>
    </row>
    <row r="283" spans="1:11">
      <c r="H283" s="519"/>
    </row>
    <row r="284" spans="1:11">
      <c r="H284" s="519">
        <f>SUM(H258:H283)</f>
        <v>237588</v>
      </c>
    </row>
    <row r="285" spans="1:11">
      <c r="H285" s="519"/>
    </row>
    <row r="286" spans="1:11">
      <c r="G286" s="520" t="s">
        <v>454</v>
      </c>
      <c r="H286" s="521">
        <f>ROUND(H284,-3)</f>
        <v>238000</v>
      </c>
      <c r="J286" s="519">
        <f>H286/D256</f>
        <v>198.33333333333334</v>
      </c>
      <c r="K286" s="306" t="s">
        <v>455</v>
      </c>
    </row>
    <row r="289" spans="1:8">
      <c r="A289" s="520" t="s">
        <v>456</v>
      </c>
      <c r="B289" s="520"/>
      <c r="C289" s="520"/>
      <c r="D289" s="520">
        <f>40*25*1</f>
        <v>1000</v>
      </c>
      <c r="E289" s="520" t="s">
        <v>18</v>
      </c>
      <c r="H289" s="519"/>
    </row>
    <row r="290" spans="1:8">
      <c r="H290" s="519"/>
    </row>
    <row r="291" spans="1:8">
      <c r="A291" s="306" t="s">
        <v>440</v>
      </c>
      <c r="D291" s="306">
        <f>ROUND((40+2)*(25+2)*(1+1+0.3),0)</f>
        <v>2608</v>
      </c>
      <c r="E291" s="306" t="s">
        <v>18</v>
      </c>
      <c r="F291" s="306">
        <v>8</v>
      </c>
      <c r="H291" s="519">
        <f>D291*F291</f>
        <v>20864</v>
      </c>
    </row>
    <row r="292" spans="1:8">
      <c r="H292" s="519"/>
    </row>
    <row r="293" spans="1:8">
      <c r="A293" s="306" t="s">
        <v>441</v>
      </c>
      <c r="D293" s="306">
        <f>40*25+D295+D313</f>
        <v>1659</v>
      </c>
      <c r="E293" s="306" t="s">
        <v>18</v>
      </c>
      <c r="F293" s="306">
        <v>5</v>
      </c>
      <c r="H293" s="519">
        <f>D293*F293</f>
        <v>8295</v>
      </c>
    </row>
    <row r="294" spans="1:8">
      <c r="H294" s="519"/>
    </row>
    <row r="295" spans="1:8">
      <c r="A295" s="306" t="s">
        <v>442</v>
      </c>
      <c r="D295" s="306">
        <f>ROUND(((40+1)*(25+1))*0.3,0)</f>
        <v>320</v>
      </c>
      <c r="E295" s="306" t="s">
        <v>18</v>
      </c>
      <c r="F295" s="306">
        <v>45</v>
      </c>
      <c r="H295" s="519">
        <f>D295*F295</f>
        <v>14400</v>
      </c>
    </row>
    <row r="296" spans="1:8">
      <c r="H296" s="519"/>
    </row>
    <row r="297" spans="1:8">
      <c r="A297" s="306" t="s">
        <v>443</v>
      </c>
      <c r="D297" s="306">
        <f>(40+1)*(25+1)</f>
        <v>1066</v>
      </c>
      <c r="E297" s="306" t="s">
        <v>39</v>
      </c>
      <c r="F297" s="306">
        <v>1</v>
      </c>
      <c r="H297" s="519">
        <f>D297*F297</f>
        <v>1066</v>
      </c>
    </row>
    <row r="298" spans="1:8">
      <c r="H298" s="519"/>
    </row>
    <row r="299" spans="1:8">
      <c r="A299" s="306" t="s">
        <v>444</v>
      </c>
      <c r="D299" s="306">
        <f>D289</f>
        <v>1000</v>
      </c>
      <c r="E299" s="306" t="s">
        <v>18</v>
      </c>
      <c r="F299" s="306">
        <v>100</v>
      </c>
      <c r="H299" s="519">
        <f>D299*F299</f>
        <v>100000</v>
      </c>
    </row>
    <row r="300" spans="1:8">
      <c r="H300" s="519"/>
    </row>
    <row r="301" spans="1:8">
      <c r="A301" s="306" t="s">
        <v>445</v>
      </c>
      <c r="D301" s="306">
        <f>D299</f>
        <v>1000</v>
      </c>
      <c r="E301" s="306" t="str">
        <f>E299</f>
        <v>m3</v>
      </c>
      <c r="F301" s="306">
        <v>10</v>
      </c>
      <c r="H301" s="519">
        <f>D301*F301</f>
        <v>10000</v>
      </c>
    </row>
    <row r="302" spans="1:8">
      <c r="H302" s="519"/>
    </row>
    <row r="303" spans="1:8">
      <c r="A303" s="306" t="s">
        <v>446</v>
      </c>
      <c r="D303" s="306">
        <f>(41*26*2)+(40*1*2)+(25*1*2)</f>
        <v>2262</v>
      </c>
      <c r="E303" s="306" t="s">
        <v>39</v>
      </c>
      <c r="F303" s="306">
        <v>3</v>
      </c>
      <c r="H303" s="519">
        <f>D303*F303</f>
        <v>6786</v>
      </c>
    </row>
    <row r="304" spans="1:8">
      <c r="H304" s="519"/>
    </row>
    <row r="305" spans="1:11">
      <c r="A305" s="306" t="s">
        <v>447</v>
      </c>
      <c r="D305" s="306">
        <f>ROUND((25/1.2*40*2)+(40*2)+(25*2),0)</f>
        <v>1797</v>
      </c>
      <c r="E305" s="306" t="s">
        <v>4</v>
      </c>
      <c r="F305" s="306">
        <v>2</v>
      </c>
      <c r="H305" s="519">
        <f>D305*F305</f>
        <v>3594</v>
      </c>
    </row>
    <row r="306" spans="1:11">
      <c r="H306" s="519"/>
    </row>
    <row r="307" spans="1:11">
      <c r="A307" s="306" t="s">
        <v>448</v>
      </c>
      <c r="D307" s="306">
        <v>1</v>
      </c>
      <c r="E307" s="306" t="s">
        <v>449</v>
      </c>
      <c r="F307" s="306">
        <v>2500</v>
      </c>
      <c r="H307" s="519">
        <f>D307*F307</f>
        <v>2500</v>
      </c>
    </row>
    <row r="308" spans="1:11">
      <c r="H308" s="519"/>
    </row>
    <row r="309" spans="1:11">
      <c r="A309" s="306" t="s">
        <v>450</v>
      </c>
      <c r="D309" s="306">
        <f>50*3</f>
        <v>150</v>
      </c>
      <c r="E309" s="306" t="s">
        <v>4</v>
      </c>
      <c r="F309" s="306">
        <v>40</v>
      </c>
      <c r="H309" s="519">
        <f>D309*F309</f>
        <v>6000</v>
      </c>
    </row>
    <row r="310" spans="1:11">
      <c r="H310" s="519"/>
    </row>
    <row r="311" spans="1:11">
      <c r="A311" s="306" t="s">
        <v>451</v>
      </c>
      <c r="D311" s="306">
        <f>40*3</f>
        <v>120</v>
      </c>
      <c r="E311" s="306" t="s">
        <v>4</v>
      </c>
      <c r="F311" s="306">
        <v>25</v>
      </c>
      <c r="H311" s="519">
        <f>D311*F311</f>
        <v>3000</v>
      </c>
    </row>
    <row r="312" spans="1:11">
      <c r="H312" s="519"/>
    </row>
    <row r="313" spans="1:11">
      <c r="A313" s="306" t="s">
        <v>452</v>
      </c>
      <c r="D313" s="306">
        <f>((40*25)+(40*1*2)+(25*1*2))*0.3</f>
        <v>339</v>
      </c>
      <c r="E313" s="306" t="s">
        <v>18</v>
      </c>
      <c r="F313" s="306">
        <v>45</v>
      </c>
      <c r="H313" s="519">
        <f>D313*F313</f>
        <v>15255</v>
      </c>
    </row>
    <row r="314" spans="1:11">
      <c r="H314" s="519"/>
    </row>
    <row r="315" spans="1:11">
      <c r="A315" s="306" t="s">
        <v>453</v>
      </c>
      <c r="D315" s="306">
        <f>D291-D293</f>
        <v>949</v>
      </c>
      <c r="E315" s="306" t="s">
        <v>18</v>
      </c>
      <c r="F315" s="306">
        <v>5</v>
      </c>
      <c r="H315" s="519">
        <f>D315*F315</f>
        <v>4745</v>
      </c>
    </row>
    <row r="316" spans="1:11">
      <c r="H316" s="519"/>
    </row>
    <row r="317" spans="1:11">
      <c r="H317" s="519">
        <f>SUM(H291:H316)</f>
        <v>196505</v>
      </c>
    </row>
    <row r="318" spans="1:11">
      <c r="H318" s="519"/>
    </row>
    <row r="319" spans="1:11">
      <c r="G319" s="520" t="s">
        <v>454</v>
      </c>
      <c r="H319" s="521">
        <f>ROUND(H317,-3)</f>
        <v>197000</v>
      </c>
      <c r="J319" s="519">
        <f>H319/D289</f>
        <v>197</v>
      </c>
      <c r="K319" s="306" t="s">
        <v>455</v>
      </c>
    </row>
    <row r="322" spans="1:8">
      <c r="A322" s="520" t="s">
        <v>457</v>
      </c>
      <c r="B322" s="520"/>
      <c r="C322" s="520"/>
      <c r="D322" s="520">
        <f>20*20*1.5</f>
        <v>600</v>
      </c>
      <c r="E322" s="520" t="s">
        <v>18</v>
      </c>
      <c r="H322" s="519"/>
    </row>
    <row r="323" spans="1:8">
      <c r="H323" s="519"/>
    </row>
    <row r="324" spans="1:8">
      <c r="A324" s="306" t="s">
        <v>440</v>
      </c>
      <c r="D324" s="306">
        <f>ROUND((20+2)*(20+2)*(1.5+1+0.3),0)</f>
        <v>1355</v>
      </c>
      <c r="E324" s="306" t="s">
        <v>18</v>
      </c>
      <c r="F324" s="306">
        <v>8</v>
      </c>
      <c r="H324" s="519">
        <f>D324*F324</f>
        <v>10840</v>
      </c>
    </row>
    <row r="325" spans="1:8">
      <c r="H325" s="519"/>
    </row>
    <row r="326" spans="1:8">
      <c r="A326" s="306" t="s">
        <v>441</v>
      </c>
      <c r="D326" s="306">
        <f>20*20*1.5+D328+D346</f>
        <v>888</v>
      </c>
      <c r="E326" s="306" t="s">
        <v>18</v>
      </c>
      <c r="F326" s="306">
        <v>5</v>
      </c>
      <c r="H326" s="519">
        <f>D326*F326</f>
        <v>4440</v>
      </c>
    </row>
    <row r="327" spans="1:8">
      <c r="H327" s="519"/>
    </row>
    <row r="328" spans="1:8">
      <c r="A328" s="306" t="s">
        <v>442</v>
      </c>
      <c r="D328" s="306">
        <f>ROUND(((20+1)*(20+1))*0.3,0)</f>
        <v>132</v>
      </c>
      <c r="E328" s="306" t="s">
        <v>18</v>
      </c>
      <c r="F328" s="306">
        <v>45</v>
      </c>
      <c r="H328" s="519">
        <f>D328*F328</f>
        <v>5940</v>
      </c>
    </row>
    <row r="329" spans="1:8">
      <c r="H329" s="519"/>
    </row>
    <row r="330" spans="1:8">
      <c r="A330" s="306" t="s">
        <v>443</v>
      </c>
      <c r="D330" s="306">
        <f>(20+1)*(20+1)</f>
        <v>441</v>
      </c>
      <c r="E330" s="306" t="s">
        <v>39</v>
      </c>
      <c r="F330" s="306">
        <v>1</v>
      </c>
      <c r="H330" s="519">
        <f>D330*F330</f>
        <v>441</v>
      </c>
    </row>
    <row r="331" spans="1:8">
      <c r="H331" s="519"/>
    </row>
    <row r="332" spans="1:8">
      <c r="A332" s="306" t="s">
        <v>444</v>
      </c>
      <c r="D332" s="306">
        <f>D322</f>
        <v>600</v>
      </c>
      <c r="E332" s="306" t="s">
        <v>18</v>
      </c>
      <c r="F332" s="306">
        <v>100</v>
      </c>
      <c r="H332" s="519">
        <f>D332*F332</f>
        <v>60000</v>
      </c>
    </row>
    <row r="333" spans="1:8">
      <c r="H333" s="519"/>
    </row>
    <row r="334" spans="1:8">
      <c r="A334" s="306" t="s">
        <v>445</v>
      </c>
      <c r="D334" s="306">
        <f>D332</f>
        <v>600</v>
      </c>
      <c r="E334" s="306" t="str">
        <f>E332</f>
        <v>m3</v>
      </c>
      <c r="F334" s="306">
        <v>10</v>
      </c>
      <c r="H334" s="519">
        <f>D334*F334</f>
        <v>6000</v>
      </c>
    </row>
    <row r="335" spans="1:8">
      <c r="H335" s="519"/>
    </row>
    <row r="336" spans="1:8">
      <c r="A336" s="306" t="s">
        <v>446</v>
      </c>
      <c r="D336" s="306">
        <f>(21*22*2)+(20*1.5*2)+(20*1.5*2)</f>
        <v>1044</v>
      </c>
      <c r="E336" s="306" t="s">
        <v>39</v>
      </c>
      <c r="F336" s="306">
        <v>3</v>
      </c>
      <c r="H336" s="519">
        <f>D336*F336</f>
        <v>3132</v>
      </c>
    </row>
    <row r="337" spans="1:11">
      <c r="H337" s="519"/>
    </row>
    <row r="338" spans="1:11">
      <c r="A338" s="306" t="s">
        <v>447</v>
      </c>
      <c r="D338" s="306">
        <f>ROUND((25/1.2*40*2)+(40*2)+(25*2),0)</f>
        <v>1797</v>
      </c>
      <c r="E338" s="306" t="s">
        <v>4</v>
      </c>
      <c r="F338" s="306">
        <v>2</v>
      </c>
      <c r="H338" s="519">
        <f>D338*F338</f>
        <v>3594</v>
      </c>
    </row>
    <row r="339" spans="1:11">
      <c r="H339" s="519"/>
    </row>
    <row r="340" spans="1:11">
      <c r="A340" s="306" t="s">
        <v>448</v>
      </c>
      <c r="D340" s="306">
        <v>1</v>
      </c>
      <c r="E340" s="306" t="s">
        <v>449</v>
      </c>
      <c r="F340" s="306">
        <v>2500</v>
      </c>
      <c r="H340" s="519">
        <f>D340*F340</f>
        <v>2500</v>
      </c>
    </row>
    <row r="341" spans="1:11">
      <c r="H341" s="519"/>
    </row>
    <row r="342" spans="1:11">
      <c r="A342" s="306" t="s">
        <v>450</v>
      </c>
      <c r="D342" s="306">
        <f>30*3</f>
        <v>90</v>
      </c>
      <c r="E342" s="306" t="s">
        <v>4</v>
      </c>
      <c r="F342" s="306">
        <v>40</v>
      </c>
      <c r="H342" s="519">
        <f>D342*F342</f>
        <v>3600</v>
      </c>
    </row>
    <row r="343" spans="1:11">
      <c r="H343" s="519"/>
    </row>
    <row r="344" spans="1:11">
      <c r="A344" s="306" t="s">
        <v>451</v>
      </c>
      <c r="D344" s="306">
        <f>20*3</f>
        <v>60</v>
      </c>
      <c r="E344" s="306" t="s">
        <v>4</v>
      </c>
      <c r="F344" s="306">
        <v>25</v>
      </c>
      <c r="H344" s="519">
        <f>D344*F344</f>
        <v>1500</v>
      </c>
    </row>
    <row r="345" spans="1:11">
      <c r="H345" s="519"/>
    </row>
    <row r="346" spans="1:11">
      <c r="A346" s="306" t="s">
        <v>452</v>
      </c>
      <c r="D346" s="306">
        <f>((20*20)+(20*1.5*2)+(20*1.5*2))*0.3</f>
        <v>156</v>
      </c>
      <c r="E346" s="306" t="s">
        <v>18</v>
      </c>
      <c r="F346" s="306">
        <v>45</v>
      </c>
      <c r="H346" s="519">
        <f>D346*F346</f>
        <v>7020</v>
      </c>
    </row>
    <row r="347" spans="1:11">
      <c r="H347" s="519"/>
    </row>
    <row r="348" spans="1:11">
      <c r="A348" s="306" t="s">
        <v>453</v>
      </c>
      <c r="D348" s="306">
        <f>D324-D326</f>
        <v>467</v>
      </c>
      <c r="E348" s="306" t="s">
        <v>18</v>
      </c>
      <c r="F348" s="306">
        <v>5</v>
      </c>
      <c r="H348" s="519">
        <f>D348*F348</f>
        <v>2335</v>
      </c>
    </row>
    <row r="349" spans="1:11">
      <c r="H349" s="519"/>
    </row>
    <row r="350" spans="1:11">
      <c r="H350" s="519">
        <f>SUM(H324:H349)</f>
        <v>111342</v>
      </c>
    </row>
    <row r="351" spans="1:11">
      <c r="H351" s="519"/>
    </row>
    <row r="352" spans="1:11">
      <c r="G352" s="520" t="s">
        <v>454</v>
      </c>
      <c r="H352" s="521">
        <f>ROUND(H350,-3)</f>
        <v>111000</v>
      </c>
      <c r="J352" s="519">
        <f>H352/D322</f>
        <v>185</v>
      </c>
      <c r="K352" s="306" t="s">
        <v>455</v>
      </c>
    </row>
    <row r="354" spans="7:8">
      <c r="G354" s="518" t="s">
        <v>458</v>
      </c>
      <c r="H354" s="522">
        <f>H352+H319+H286</f>
        <v>546000</v>
      </c>
    </row>
  </sheetData>
  <mergeCells count="17">
    <mergeCell ref="C132:D132"/>
    <mergeCell ref="Q137:AD137"/>
    <mergeCell ref="AG137:AS137"/>
    <mergeCell ref="BG137:BS137"/>
    <mergeCell ref="C1:D1"/>
    <mergeCell ref="J1:K1"/>
    <mergeCell ref="E3:K5"/>
    <mergeCell ref="Q6:AC6"/>
    <mergeCell ref="AH6:AT6"/>
    <mergeCell ref="AU6:BG6"/>
    <mergeCell ref="AF171:AO171"/>
    <mergeCell ref="AP171:AY171"/>
    <mergeCell ref="Q206:U206"/>
    <mergeCell ref="W229:AA229"/>
    <mergeCell ref="BH6:BT6"/>
    <mergeCell ref="AG49:AP49"/>
    <mergeCell ref="AQ49:AZ49"/>
  </mergeCells>
  <pageMargins left="0.75" right="0.75" top="1" bottom="1" header="0.5" footer="0.5"/>
  <pageSetup paperSize="9" scale="25" orientation="portrait" verticalDpi="1200" r:id="rId1"/>
  <headerFooter alignWithMargins="0"/>
  <legacy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B4262-D5BF-294C-9E39-DC40BF75DCE8}">
  <sheetPr>
    <pageSetUpPr fitToPage="1"/>
  </sheetPr>
  <dimension ref="A1:M196"/>
  <sheetViews>
    <sheetView workbookViewId="0">
      <selection activeCell="F56" sqref="F56"/>
    </sheetView>
  </sheetViews>
  <sheetFormatPr baseColWidth="10" defaultColWidth="8.6640625" defaultRowHeight="13"/>
  <cols>
    <col min="1" max="1" width="24.83203125" style="566" customWidth="1"/>
    <col min="2" max="2" width="16.6640625" style="566" customWidth="1"/>
    <col min="3" max="5" width="14" style="566" customWidth="1"/>
    <col min="6" max="6" width="14" style="567" customWidth="1"/>
    <col min="7" max="7" width="12.5" style="567" customWidth="1"/>
    <col min="8" max="9" width="11.6640625" style="568" customWidth="1"/>
    <col min="10" max="10" width="10.6640625" style="567" customWidth="1"/>
    <col min="11" max="11" width="9.6640625" style="567" customWidth="1"/>
    <col min="12" max="12" width="12" style="566" customWidth="1"/>
    <col min="13" max="13" width="6.6640625" style="566" customWidth="1"/>
    <col min="14" max="16384" width="8.6640625" style="565"/>
  </cols>
  <sheetData>
    <row r="1" spans="1:13">
      <c r="A1" s="617"/>
      <c r="B1" s="614"/>
      <c r="C1" s="1197" t="s">
        <v>599</v>
      </c>
      <c r="D1" s="1197"/>
      <c r="E1" s="643"/>
      <c r="F1" s="615"/>
      <c r="G1" s="615"/>
      <c r="H1" s="642"/>
      <c r="I1" s="616"/>
      <c r="J1" s="615"/>
      <c r="K1" s="615"/>
      <c r="L1" s="641"/>
      <c r="M1" s="565"/>
    </row>
    <row r="2" spans="1:13">
      <c r="A2" s="613"/>
      <c r="C2" s="612">
        <v>43685</v>
      </c>
      <c r="E2" s="640"/>
      <c r="L2" s="639"/>
      <c r="M2" s="565"/>
    </row>
    <row r="3" spans="1:13" ht="16">
      <c r="A3" s="638" t="s">
        <v>43</v>
      </c>
      <c r="B3" s="637" t="s">
        <v>45</v>
      </c>
      <c r="C3" s="584"/>
      <c r="D3" s="584"/>
      <c r="E3" s="581"/>
      <c r="F3" s="581"/>
      <c r="G3" s="582"/>
      <c r="H3" s="582"/>
      <c r="I3" s="581"/>
      <c r="J3" s="581"/>
      <c r="K3" s="584"/>
      <c r="L3" s="583"/>
      <c r="M3" s="565"/>
    </row>
    <row r="4" spans="1:13" s="629" customFormat="1">
      <c r="A4" s="634"/>
      <c r="B4" s="622" t="s">
        <v>47</v>
      </c>
      <c r="C4" s="579"/>
      <c r="D4" s="579"/>
      <c r="E4" s="578"/>
      <c r="F4" s="622" t="s">
        <v>48</v>
      </c>
      <c r="G4" s="636"/>
      <c r="H4" s="636"/>
      <c r="I4" s="578"/>
      <c r="J4" s="635"/>
      <c r="K4" s="622"/>
      <c r="L4" s="578"/>
    </row>
    <row r="5" spans="1:13" s="629" customFormat="1" ht="14">
      <c r="A5" s="634"/>
      <c r="B5" s="631" t="s">
        <v>16</v>
      </c>
      <c r="C5" s="633" t="s">
        <v>56</v>
      </c>
      <c r="D5" s="633" t="s">
        <v>57</v>
      </c>
      <c r="E5" s="630" t="s">
        <v>37</v>
      </c>
      <c r="F5" s="631" t="s">
        <v>16</v>
      </c>
      <c r="G5" s="633" t="s">
        <v>56</v>
      </c>
      <c r="H5" s="633" t="s">
        <v>57</v>
      </c>
      <c r="I5" s="630" t="s">
        <v>37</v>
      </c>
      <c r="J5" s="632" t="s">
        <v>519</v>
      </c>
      <c r="K5" s="631" t="s">
        <v>38</v>
      </c>
      <c r="L5" s="630" t="s">
        <v>59</v>
      </c>
    </row>
    <row r="6" spans="1:13" s="569" customFormat="1">
      <c r="A6" s="628"/>
      <c r="B6" s="570"/>
      <c r="C6" s="572"/>
      <c r="D6" s="572"/>
      <c r="E6" s="596">
        <f t="shared" ref="E6:E46" si="0">C6-D6</f>
        <v>0</v>
      </c>
      <c r="F6" s="570"/>
      <c r="G6" s="572"/>
      <c r="H6" s="572"/>
      <c r="I6" s="596">
        <f t="shared" ref="I6:I46" si="1">G6-H6</f>
        <v>0</v>
      </c>
      <c r="J6" s="597">
        <f t="shared" ref="J6:J46" si="2">CEILING((E6+I6)/2,0.25)</f>
        <v>0</v>
      </c>
      <c r="K6" s="570"/>
      <c r="L6" s="570"/>
    </row>
    <row r="7" spans="1:13" s="569" customFormat="1">
      <c r="A7" s="628" t="s">
        <v>518</v>
      </c>
      <c r="B7" s="570" t="s">
        <v>97</v>
      </c>
      <c r="C7" s="572">
        <v>9.6199999999999992</v>
      </c>
      <c r="D7" s="572">
        <v>7.4420000000000002</v>
      </c>
      <c r="E7" s="596">
        <f t="shared" si="0"/>
        <v>2.177999999999999</v>
      </c>
      <c r="F7" s="570" t="s">
        <v>96</v>
      </c>
      <c r="G7" s="572">
        <v>9.8000000000000007</v>
      </c>
      <c r="H7" s="572">
        <v>7.35</v>
      </c>
      <c r="I7" s="596">
        <f t="shared" si="1"/>
        <v>2.4500000000000011</v>
      </c>
      <c r="J7" s="595">
        <f t="shared" si="2"/>
        <v>2.5</v>
      </c>
      <c r="K7" s="570">
        <v>37</v>
      </c>
      <c r="L7" s="570">
        <v>750</v>
      </c>
    </row>
    <row r="8" spans="1:13" s="569" customFormat="1">
      <c r="A8" s="628"/>
      <c r="B8" s="570" t="s">
        <v>96</v>
      </c>
      <c r="C8" s="572">
        <v>9.8000000000000007</v>
      </c>
      <c r="D8" s="572">
        <v>7.35</v>
      </c>
      <c r="E8" s="596">
        <f t="shared" si="0"/>
        <v>2.4500000000000011</v>
      </c>
      <c r="F8" s="570" t="s">
        <v>89</v>
      </c>
      <c r="G8" s="572">
        <v>9.5</v>
      </c>
      <c r="H8" s="572">
        <v>7.2549999999999999</v>
      </c>
      <c r="I8" s="596">
        <f t="shared" si="1"/>
        <v>2.2450000000000001</v>
      </c>
      <c r="J8" s="595">
        <f t="shared" si="2"/>
        <v>2.5</v>
      </c>
      <c r="K8" s="570">
        <v>38</v>
      </c>
      <c r="L8" s="570">
        <v>750</v>
      </c>
    </row>
    <row r="9" spans="1:13" s="569" customFormat="1">
      <c r="A9" s="628"/>
      <c r="B9" s="570" t="s">
        <v>89</v>
      </c>
      <c r="C9" s="572">
        <v>9.5</v>
      </c>
      <c r="D9" s="572">
        <v>7.2549999999999999</v>
      </c>
      <c r="E9" s="596">
        <f t="shared" si="0"/>
        <v>2.2450000000000001</v>
      </c>
      <c r="F9" s="570" t="s">
        <v>88</v>
      </c>
      <c r="G9" s="572">
        <v>9.5500000000000007</v>
      </c>
      <c r="H9" s="572">
        <v>7.0359999999999996</v>
      </c>
      <c r="I9" s="596">
        <f t="shared" si="1"/>
        <v>2.5140000000000011</v>
      </c>
      <c r="J9" s="595">
        <f t="shared" si="2"/>
        <v>2.5</v>
      </c>
      <c r="K9" s="570">
        <v>87</v>
      </c>
      <c r="L9" s="570">
        <v>750</v>
      </c>
    </row>
    <row r="10" spans="1:13" s="569" customFormat="1">
      <c r="A10" s="628"/>
      <c r="B10" s="570" t="s">
        <v>88</v>
      </c>
      <c r="C10" s="572">
        <v>9.5500000000000007</v>
      </c>
      <c r="D10" s="572">
        <v>7.0359999999999996</v>
      </c>
      <c r="E10" s="596">
        <f t="shared" si="0"/>
        <v>2.5140000000000011</v>
      </c>
      <c r="F10" s="570" t="s">
        <v>87</v>
      </c>
      <c r="G10" s="572">
        <v>9.5500000000000007</v>
      </c>
      <c r="H10" s="572">
        <v>7.0129999999999999</v>
      </c>
      <c r="I10" s="596">
        <f t="shared" si="1"/>
        <v>2.5370000000000008</v>
      </c>
      <c r="J10" s="595">
        <f t="shared" si="2"/>
        <v>2.75</v>
      </c>
      <c r="K10" s="570">
        <v>9</v>
      </c>
      <c r="L10" s="570">
        <v>750</v>
      </c>
    </row>
    <row r="11" spans="1:13" s="569" customFormat="1">
      <c r="A11" s="628"/>
      <c r="B11" s="570" t="s">
        <v>87</v>
      </c>
      <c r="C11" s="572">
        <v>9.5500000000000007</v>
      </c>
      <c r="D11" s="572">
        <v>7.0129999999999999</v>
      </c>
      <c r="E11" s="596">
        <f t="shared" si="0"/>
        <v>2.5370000000000008</v>
      </c>
      <c r="F11" s="570" t="s">
        <v>86</v>
      </c>
      <c r="G11" s="572">
        <v>9.5</v>
      </c>
      <c r="H11" s="572">
        <v>6.9450000000000003</v>
      </c>
      <c r="I11" s="596">
        <f t="shared" si="1"/>
        <v>2.5549999999999997</v>
      </c>
      <c r="J11" s="595">
        <f t="shared" si="2"/>
        <v>2.75</v>
      </c>
      <c r="K11" s="570">
        <v>27</v>
      </c>
      <c r="L11" s="570">
        <v>750</v>
      </c>
    </row>
    <row r="12" spans="1:13" s="569" customFormat="1">
      <c r="A12" s="628"/>
      <c r="B12" s="570" t="s">
        <v>86</v>
      </c>
      <c r="C12" s="572">
        <v>9.5</v>
      </c>
      <c r="D12" s="572">
        <v>6.9450000000000003</v>
      </c>
      <c r="E12" s="596">
        <f t="shared" si="0"/>
        <v>2.5549999999999997</v>
      </c>
      <c r="F12" s="570" t="s">
        <v>85</v>
      </c>
      <c r="G12" s="572">
        <v>9.6999999999999993</v>
      </c>
      <c r="H12" s="572">
        <v>6.859</v>
      </c>
      <c r="I12" s="596">
        <f t="shared" si="1"/>
        <v>2.8409999999999993</v>
      </c>
      <c r="J12" s="595">
        <f t="shared" si="2"/>
        <v>2.75</v>
      </c>
      <c r="K12" s="570">
        <v>35</v>
      </c>
      <c r="L12" s="570">
        <v>750</v>
      </c>
    </row>
    <row r="13" spans="1:13" s="569" customFormat="1">
      <c r="A13" s="628"/>
      <c r="B13" s="570" t="s">
        <v>85</v>
      </c>
      <c r="C13" s="572">
        <v>9.6999999999999993</v>
      </c>
      <c r="D13" s="572">
        <v>6.859</v>
      </c>
      <c r="E13" s="596">
        <f t="shared" si="0"/>
        <v>2.8409999999999993</v>
      </c>
      <c r="F13" s="570" t="s">
        <v>84</v>
      </c>
      <c r="G13" s="572">
        <v>9.3000000000000007</v>
      </c>
      <c r="H13" s="572">
        <v>6.7960000000000003</v>
      </c>
      <c r="I13" s="596">
        <f t="shared" si="1"/>
        <v>2.5040000000000004</v>
      </c>
      <c r="J13" s="595">
        <f t="shared" si="2"/>
        <v>2.75</v>
      </c>
      <c r="K13" s="570">
        <v>25</v>
      </c>
      <c r="L13" s="570">
        <v>750</v>
      </c>
    </row>
    <row r="14" spans="1:13" s="569" customFormat="1">
      <c r="A14" s="628"/>
      <c r="B14" s="570" t="s">
        <v>84</v>
      </c>
      <c r="C14" s="572">
        <v>9.3000000000000007</v>
      </c>
      <c r="D14" s="572">
        <v>6.7960000000000003</v>
      </c>
      <c r="E14" s="596">
        <f t="shared" si="0"/>
        <v>2.5040000000000004</v>
      </c>
      <c r="F14" s="570" t="s">
        <v>517</v>
      </c>
      <c r="G14" s="572">
        <v>8.5500000000000007</v>
      </c>
      <c r="H14" s="572">
        <v>6.7510000000000003</v>
      </c>
      <c r="I14" s="596">
        <f t="shared" si="1"/>
        <v>1.7990000000000004</v>
      </c>
      <c r="J14" s="595">
        <f t="shared" si="2"/>
        <v>2.25</v>
      </c>
      <c r="K14" s="570">
        <v>18</v>
      </c>
      <c r="L14" s="570">
        <v>750</v>
      </c>
    </row>
    <row r="15" spans="1:13" s="569" customFormat="1">
      <c r="A15" s="628"/>
      <c r="B15" s="570"/>
      <c r="C15" s="572"/>
      <c r="D15" s="572"/>
      <c r="E15" s="596">
        <f t="shared" si="0"/>
        <v>0</v>
      </c>
      <c r="F15" s="570"/>
      <c r="G15" s="572"/>
      <c r="H15" s="572"/>
      <c r="I15" s="596">
        <f t="shared" si="1"/>
        <v>0</v>
      </c>
      <c r="J15" s="595">
        <f t="shared" si="2"/>
        <v>0</v>
      </c>
      <c r="K15" s="570"/>
      <c r="L15" s="570"/>
    </row>
    <row r="16" spans="1:13" s="569" customFormat="1">
      <c r="A16" s="628"/>
      <c r="B16" s="570" t="s">
        <v>92</v>
      </c>
      <c r="C16" s="572">
        <v>10</v>
      </c>
      <c r="D16" s="572">
        <v>8.6</v>
      </c>
      <c r="E16" s="596">
        <f t="shared" si="0"/>
        <v>1.4000000000000004</v>
      </c>
      <c r="F16" s="570" t="s">
        <v>91</v>
      </c>
      <c r="G16" s="572">
        <v>10.1</v>
      </c>
      <c r="H16" s="572">
        <v>8.17</v>
      </c>
      <c r="I16" s="596">
        <f t="shared" si="1"/>
        <v>1.9299999999999997</v>
      </c>
      <c r="J16" s="595">
        <f t="shared" si="2"/>
        <v>1.75</v>
      </c>
      <c r="K16" s="570">
        <v>48</v>
      </c>
      <c r="L16" s="570">
        <v>225</v>
      </c>
    </row>
    <row r="17" spans="1:12" s="569" customFormat="1">
      <c r="A17" s="628"/>
      <c r="B17" s="570" t="s">
        <v>91</v>
      </c>
      <c r="C17" s="572">
        <v>10.1</v>
      </c>
      <c r="D17" s="572">
        <v>8.17</v>
      </c>
      <c r="E17" s="596">
        <f t="shared" si="0"/>
        <v>1.9299999999999997</v>
      </c>
      <c r="F17" s="570" t="s">
        <v>90</v>
      </c>
      <c r="G17" s="572">
        <v>9.6999999999999993</v>
      </c>
      <c r="H17" s="572">
        <v>7.8849999999999998</v>
      </c>
      <c r="I17" s="596">
        <f t="shared" si="1"/>
        <v>1.8149999999999995</v>
      </c>
      <c r="J17" s="595">
        <f t="shared" si="2"/>
        <v>2</v>
      </c>
      <c r="K17" s="570">
        <v>23</v>
      </c>
      <c r="L17" s="570">
        <v>375</v>
      </c>
    </row>
    <row r="18" spans="1:12" s="569" customFormat="1">
      <c r="A18" s="628"/>
      <c r="B18" s="570"/>
      <c r="C18" s="572"/>
      <c r="D18" s="572"/>
      <c r="E18" s="596">
        <f t="shared" si="0"/>
        <v>0</v>
      </c>
      <c r="F18" s="570"/>
      <c r="G18" s="572"/>
      <c r="H18" s="572"/>
      <c r="I18" s="596">
        <f t="shared" si="1"/>
        <v>0</v>
      </c>
      <c r="J18" s="595">
        <f t="shared" si="2"/>
        <v>0</v>
      </c>
      <c r="K18" s="570"/>
      <c r="L18" s="570"/>
    </row>
    <row r="19" spans="1:12" s="569" customFormat="1">
      <c r="A19" s="628"/>
      <c r="B19" s="570" t="s">
        <v>95</v>
      </c>
      <c r="C19" s="572">
        <v>9.6</v>
      </c>
      <c r="D19" s="572">
        <v>8.3450000000000006</v>
      </c>
      <c r="E19" s="596">
        <f t="shared" si="0"/>
        <v>1.254999999999999</v>
      </c>
      <c r="F19" s="570" t="s">
        <v>90</v>
      </c>
      <c r="G19" s="572">
        <v>9.6999999999999993</v>
      </c>
      <c r="H19" s="572">
        <v>7.8849999999999998</v>
      </c>
      <c r="I19" s="596">
        <f t="shared" si="1"/>
        <v>1.8149999999999995</v>
      </c>
      <c r="J19" s="595">
        <f t="shared" si="2"/>
        <v>1.75</v>
      </c>
      <c r="K19" s="570">
        <v>16</v>
      </c>
      <c r="L19" s="570">
        <v>225</v>
      </c>
    </row>
    <row r="20" spans="1:12" s="569" customFormat="1">
      <c r="A20" s="628"/>
      <c r="B20" s="570"/>
      <c r="C20" s="572"/>
      <c r="D20" s="572"/>
      <c r="E20" s="596">
        <f t="shared" si="0"/>
        <v>0</v>
      </c>
      <c r="F20" s="570"/>
      <c r="G20" s="572"/>
      <c r="H20" s="572"/>
      <c r="I20" s="596">
        <f t="shared" si="1"/>
        <v>0</v>
      </c>
      <c r="J20" s="595">
        <f t="shared" si="2"/>
        <v>0</v>
      </c>
      <c r="K20" s="570"/>
      <c r="L20" s="570"/>
    </row>
    <row r="21" spans="1:12" s="569" customFormat="1">
      <c r="A21" s="628"/>
      <c r="B21" s="570" t="s">
        <v>94</v>
      </c>
      <c r="C21" s="572">
        <v>1.2</v>
      </c>
      <c r="D21" s="572">
        <v>8.6</v>
      </c>
      <c r="E21" s="596">
        <f t="shared" si="0"/>
        <v>-7.3999999999999995</v>
      </c>
      <c r="F21" s="570" t="s">
        <v>93</v>
      </c>
      <c r="G21" s="572">
        <v>10</v>
      </c>
      <c r="H21" s="572">
        <v>8.1910000000000007</v>
      </c>
      <c r="I21" s="596">
        <f t="shared" si="1"/>
        <v>1.8089999999999993</v>
      </c>
      <c r="J21" s="595">
        <f t="shared" si="2"/>
        <v>-2.75</v>
      </c>
      <c r="K21" s="570">
        <v>44</v>
      </c>
      <c r="L21" s="570">
        <v>225</v>
      </c>
    </row>
    <row r="22" spans="1:12" s="569" customFormat="1">
      <c r="A22" s="628"/>
      <c r="B22" s="570" t="s">
        <v>93</v>
      </c>
      <c r="C22" s="572">
        <v>10</v>
      </c>
      <c r="D22" s="572">
        <v>8.1910000000000007</v>
      </c>
      <c r="E22" s="596">
        <f t="shared" si="0"/>
        <v>1.8089999999999993</v>
      </c>
      <c r="F22" s="570" t="s">
        <v>90</v>
      </c>
      <c r="G22" s="572">
        <v>9.6999999999999993</v>
      </c>
      <c r="H22" s="572">
        <v>7.8849999999999998</v>
      </c>
      <c r="I22" s="596">
        <f t="shared" si="1"/>
        <v>1.8149999999999995</v>
      </c>
      <c r="J22" s="595">
        <f t="shared" si="2"/>
        <v>2</v>
      </c>
      <c r="K22" s="570">
        <v>27</v>
      </c>
      <c r="L22" s="570">
        <v>375</v>
      </c>
    </row>
    <row r="23" spans="1:12" s="569" customFormat="1">
      <c r="A23" s="628"/>
      <c r="B23" s="570"/>
      <c r="C23" s="572"/>
      <c r="D23" s="572"/>
      <c r="E23" s="596">
        <f t="shared" si="0"/>
        <v>0</v>
      </c>
      <c r="F23" s="570"/>
      <c r="G23" s="572"/>
      <c r="H23" s="572"/>
      <c r="I23" s="596">
        <f t="shared" si="1"/>
        <v>0</v>
      </c>
      <c r="J23" s="595">
        <f t="shared" si="2"/>
        <v>0</v>
      </c>
      <c r="K23" s="570"/>
      <c r="L23" s="570"/>
    </row>
    <row r="24" spans="1:12" s="569" customFormat="1">
      <c r="A24" s="628"/>
      <c r="B24" s="570" t="s">
        <v>90</v>
      </c>
      <c r="C24" s="572">
        <v>9.6999999999999993</v>
      </c>
      <c r="D24" s="572">
        <v>7.8849999999999998</v>
      </c>
      <c r="E24" s="596">
        <f t="shared" si="0"/>
        <v>1.8149999999999995</v>
      </c>
      <c r="F24" s="570" t="s">
        <v>89</v>
      </c>
      <c r="G24" s="572">
        <v>9.5</v>
      </c>
      <c r="H24" s="572">
        <v>7.2549999999999999</v>
      </c>
      <c r="I24" s="596">
        <f t="shared" si="1"/>
        <v>2.2450000000000001</v>
      </c>
      <c r="J24" s="595">
        <f t="shared" si="2"/>
        <v>2.25</v>
      </c>
      <c r="K24" s="570">
        <v>63</v>
      </c>
      <c r="L24" s="570">
        <v>525</v>
      </c>
    </row>
    <row r="25" spans="1:12" s="569" customFormat="1">
      <c r="A25" s="628"/>
      <c r="B25" s="570"/>
      <c r="C25" s="572"/>
      <c r="D25" s="572"/>
      <c r="E25" s="596">
        <f t="shared" si="0"/>
        <v>0</v>
      </c>
      <c r="F25" s="570"/>
      <c r="G25" s="572"/>
      <c r="H25" s="572"/>
      <c r="I25" s="596">
        <f t="shared" si="1"/>
        <v>0</v>
      </c>
      <c r="J25" s="595">
        <f t="shared" si="2"/>
        <v>0</v>
      </c>
      <c r="K25" s="570"/>
      <c r="L25" s="570"/>
    </row>
    <row r="26" spans="1:12" s="569" customFormat="1">
      <c r="A26" s="628"/>
      <c r="B26" s="570" t="s">
        <v>218</v>
      </c>
      <c r="C26" s="572">
        <v>9.4</v>
      </c>
      <c r="D26" s="572">
        <v>8.0139999999999993</v>
      </c>
      <c r="E26" s="596">
        <f t="shared" si="0"/>
        <v>1.386000000000001</v>
      </c>
      <c r="F26" s="570" t="s">
        <v>204</v>
      </c>
      <c r="G26" s="572">
        <v>9.5</v>
      </c>
      <c r="H26" s="572">
        <v>7.6980000000000004</v>
      </c>
      <c r="I26" s="596">
        <f t="shared" si="1"/>
        <v>1.8019999999999996</v>
      </c>
      <c r="J26" s="595">
        <f t="shared" si="2"/>
        <v>1.75</v>
      </c>
      <c r="K26" s="570">
        <v>54</v>
      </c>
      <c r="L26" s="570">
        <v>300</v>
      </c>
    </row>
    <row r="27" spans="1:12" s="569" customFormat="1">
      <c r="A27" s="628"/>
      <c r="B27" s="570" t="s">
        <v>204</v>
      </c>
      <c r="C27" s="572">
        <v>9.5</v>
      </c>
      <c r="D27" s="572">
        <v>7.6980000000000004</v>
      </c>
      <c r="E27" s="596">
        <f t="shared" si="0"/>
        <v>1.8019999999999996</v>
      </c>
      <c r="F27" s="570" t="s">
        <v>98</v>
      </c>
      <c r="G27" s="572">
        <v>9.5</v>
      </c>
      <c r="H27" s="572">
        <v>7.6349999999999998</v>
      </c>
      <c r="I27" s="596">
        <f t="shared" si="1"/>
        <v>1.8650000000000002</v>
      </c>
      <c r="J27" s="595">
        <f t="shared" si="2"/>
        <v>2</v>
      </c>
      <c r="K27" s="570">
        <v>16</v>
      </c>
      <c r="L27" s="570">
        <v>300</v>
      </c>
    </row>
    <row r="28" spans="1:12" s="569" customFormat="1">
      <c r="A28" s="628"/>
      <c r="B28" s="570" t="s">
        <v>98</v>
      </c>
      <c r="C28" s="572">
        <v>9.5</v>
      </c>
      <c r="D28" s="572">
        <v>7.6349999999999998</v>
      </c>
      <c r="E28" s="596">
        <f t="shared" si="0"/>
        <v>1.8650000000000002</v>
      </c>
      <c r="F28" s="570" t="s">
        <v>86</v>
      </c>
      <c r="G28" s="572">
        <v>9.5</v>
      </c>
      <c r="H28" s="572">
        <v>6.9450000000000003</v>
      </c>
      <c r="I28" s="596">
        <f t="shared" si="1"/>
        <v>2.5549999999999997</v>
      </c>
      <c r="J28" s="595">
        <f t="shared" si="2"/>
        <v>2.25</v>
      </c>
      <c r="K28" s="570">
        <v>59</v>
      </c>
      <c r="L28" s="570">
        <v>300</v>
      </c>
    </row>
    <row r="29" spans="1:12" s="569" customFormat="1">
      <c r="A29" s="628"/>
      <c r="B29" s="570"/>
      <c r="C29" s="572"/>
      <c r="D29" s="572"/>
      <c r="E29" s="596">
        <f t="shared" si="0"/>
        <v>0</v>
      </c>
      <c r="F29" s="570"/>
      <c r="G29" s="572"/>
      <c r="H29" s="572"/>
      <c r="I29" s="596">
        <f t="shared" si="1"/>
        <v>0</v>
      </c>
      <c r="J29" s="595">
        <f t="shared" si="2"/>
        <v>0</v>
      </c>
      <c r="K29" s="570"/>
      <c r="L29" s="570"/>
    </row>
    <row r="30" spans="1:12" s="569" customFormat="1">
      <c r="A30" s="628"/>
      <c r="B30" s="570" t="s">
        <v>99</v>
      </c>
      <c r="C30" s="572">
        <v>9.1</v>
      </c>
      <c r="D30" s="572">
        <v>7.484</v>
      </c>
      <c r="E30" s="596">
        <f t="shared" si="0"/>
        <v>1.6159999999999997</v>
      </c>
      <c r="F30" s="570" t="s">
        <v>219</v>
      </c>
      <c r="G30" s="572">
        <v>9.1</v>
      </c>
      <c r="H30" s="572">
        <v>7.3449999999999998</v>
      </c>
      <c r="I30" s="596">
        <f t="shared" si="1"/>
        <v>1.7549999999999999</v>
      </c>
      <c r="J30" s="595">
        <f t="shared" si="2"/>
        <v>1.75</v>
      </c>
      <c r="K30" s="570">
        <v>11</v>
      </c>
      <c r="L30" s="570">
        <v>225</v>
      </c>
    </row>
    <row r="31" spans="1:12" s="569" customFormat="1">
      <c r="A31" s="628"/>
      <c r="B31" s="570" t="s">
        <v>102</v>
      </c>
      <c r="C31" s="572">
        <v>8.6</v>
      </c>
      <c r="D31" s="572">
        <v>7.4749999999999996</v>
      </c>
      <c r="E31" s="596">
        <f t="shared" si="0"/>
        <v>1.125</v>
      </c>
      <c r="F31" s="570" t="s">
        <v>219</v>
      </c>
      <c r="G31" s="572">
        <v>9.1</v>
      </c>
      <c r="H31" s="572">
        <v>7.3449999999999998</v>
      </c>
      <c r="I31" s="596">
        <f t="shared" si="1"/>
        <v>1.7549999999999999</v>
      </c>
      <c r="J31" s="595">
        <f t="shared" si="2"/>
        <v>1.5</v>
      </c>
      <c r="K31" s="570">
        <v>9</v>
      </c>
      <c r="L31" s="570">
        <v>225</v>
      </c>
    </row>
    <row r="32" spans="1:12" s="569" customFormat="1">
      <c r="A32" s="628"/>
      <c r="B32" s="570" t="s">
        <v>219</v>
      </c>
      <c r="C32" s="572">
        <v>9.1</v>
      </c>
      <c r="D32" s="572">
        <v>7.3449999999999998</v>
      </c>
      <c r="E32" s="596">
        <f t="shared" si="0"/>
        <v>1.7549999999999999</v>
      </c>
      <c r="F32" s="570" t="s">
        <v>84</v>
      </c>
      <c r="G32" s="572">
        <v>9.3000000000000007</v>
      </c>
      <c r="H32" s="572">
        <v>6.7960000000000003</v>
      </c>
      <c r="I32" s="596">
        <f t="shared" si="1"/>
        <v>2.5040000000000004</v>
      </c>
      <c r="J32" s="595">
        <f t="shared" si="2"/>
        <v>2.25</v>
      </c>
      <c r="K32" s="570">
        <v>24</v>
      </c>
      <c r="L32" s="570">
        <v>300</v>
      </c>
    </row>
    <row r="33" spans="1:12" s="569" customFormat="1">
      <c r="A33" s="628"/>
      <c r="B33" s="570"/>
      <c r="C33" s="572"/>
      <c r="D33" s="572"/>
      <c r="E33" s="596">
        <f t="shared" si="0"/>
        <v>0</v>
      </c>
      <c r="F33" s="570"/>
      <c r="G33" s="572"/>
      <c r="H33" s="572"/>
      <c r="I33" s="596">
        <f t="shared" si="1"/>
        <v>0</v>
      </c>
      <c r="J33" s="595">
        <f t="shared" si="2"/>
        <v>0</v>
      </c>
      <c r="K33" s="570"/>
      <c r="L33" s="570"/>
    </row>
    <row r="34" spans="1:12" s="569" customFormat="1">
      <c r="A34" s="628"/>
      <c r="B34" s="570" t="s">
        <v>516</v>
      </c>
      <c r="C34" s="572">
        <v>8.5</v>
      </c>
      <c r="D34" s="572">
        <v>6.7</v>
      </c>
      <c r="E34" s="596">
        <f t="shared" si="0"/>
        <v>1.7999999999999998</v>
      </c>
      <c r="F34" s="570" t="s">
        <v>515</v>
      </c>
      <c r="G34" s="572">
        <v>8.5</v>
      </c>
      <c r="H34" s="572">
        <v>6.6689999999999996</v>
      </c>
      <c r="I34" s="596">
        <f t="shared" si="1"/>
        <v>1.8310000000000004</v>
      </c>
      <c r="J34" s="595">
        <f t="shared" si="2"/>
        <v>2</v>
      </c>
      <c r="K34" s="570">
        <v>12</v>
      </c>
      <c r="L34" s="570">
        <v>900</v>
      </c>
    </row>
    <row r="35" spans="1:12" s="569" customFormat="1">
      <c r="A35" s="628"/>
      <c r="B35" s="570" t="s">
        <v>515</v>
      </c>
      <c r="C35" s="572">
        <v>8.5</v>
      </c>
      <c r="D35" s="572">
        <v>6.6689999999999996</v>
      </c>
      <c r="E35" s="596">
        <f t="shared" si="0"/>
        <v>1.8310000000000004</v>
      </c>
      <c r="F35" s="570" t="s">
        <v>80</v>
      </c>
      <c r="G35" s="572">
        <v>8</v>
      </c>
      <c r="H35" s="572">
        <v>6.2359999999999998</v>
      </c>
      <c r="I35" s="596">
        <f t="shared" si="1"/>
        <v>1.7640000000000002</v>
      </c>
      <c r="J35" s="595">
        <f t="shared" si="2"/>
        <v>2</v>
      </c>
      <c r="K35" s="570">
        <v>100</v>
      </c>
      <c r="L35" s="570">
        <v>300</v>
      </c>
    </row>
    <row r="36" spans="1:12" s="569" customFormat="1">
      <c r="A36" s="628"/>
      <c r="B36" s="570" t="s">
        <v>80</v>
      </c>
      <c r="C36" s="572">
        <v>8</v>
      </c>
      <c r="D36" s="572">
        <v>6.2359999999999998</v>
      </c>
      <c r="E36" s="596">
        <f t="shared" si="0"/>
        <v>1.7640000000000002</v>
      </c>
      <c r="F36" s="570" t="s">
        <v>362</v>
      </c>
      <c r="G36" s="572">
        <v>7.5</v>
      </c>
      <c r="H36" s="572">
        <v>6.1059999999999999</v>
      </c>
      <c r="I36" s="596">
        <f t="shared" si="1"/>
        <v>1.3940000000000001</v>
      </c>
      <c r="J36" s="595">
        <f t="shared" si="2"/>
        <v>1.75</v>
      </c>
      <c r="K36" s="570">
        <v>39</v>
      </c>
      <c r="L36" s="570">
        <v>300</v>
      </c>
    </row>
    <row r="37" spans="1:12" s="569" customFormat="1">
      <c r="A37" s="628"/>
      <c r="B37" s="570" t="s">
        <v>362</v>
      </c>
      <c r="C37" s="572">
        <v>7.5</v>
      </c>
      <c r="D37" s="572">
        <v>6.1059999999999999</v>
      </c>
      <c r="E37" s="596">
        <f t="shared" si="0"/>
        <v>1.3940000000000001</v>
      </c>
      <c r="F37" s="570" t="s">
        <v>209</v>
      </c>
      <c r="G37" s="572">
        <v>7.5</v>
      </c>
      <c r="H37" s="572">
        <v>6.0279999999999996</v>
      </c>
      <c r="I37" s="596">
        <f t="shared" si="1"/>
        <v>1.4720000000000004</v>
      </c>
      <c r="J37" s="595">
        <f t="shared" si="2"/>
        <v>1.5</v>
      </c>
      <c r="K37" s="570">
        <v>19</v>
      </c>
      <c r="L37" s="570">
        <v>300</v>
      </c>
    </row>
    <row r="38" spans="1:12" s="569" customFormat="1">
      <c r="A38" s="628"/>
      <c r="B38" s="570" t="s">
        <v>209</v>
      </c>
      <c r="C38" s="572">
        <v>7.5</v>
      </c>
      <c r="D38" s="572">
        <v>6.0279999999999996</v>
      </c>
      <c r="E38" s="596">
        <f t="shared" si="0"/>
        <v>1.4720000000000004</v>
      </c>
      <c r="F38" s="570" t="s">
        <v>210</v>
      </c>
      <c r="G38" s="572">
        <v>7.5</v>
      </c>
      <c r="H38" s="572">
        <v>5.8810000000000002</v>
      </c>
      <c r="I38" s="596">
        <f t="shared" si="1"/>
        <v>1.6189999999999998</v>
      </c>
      <c r="J38" s="595">
        <f t="shared" si="2"/>
        <v>1.75</v>
      </c>
      <c r="K38" s="570">
        <v>36</v>
      </c>
      <c r="L38" s="570">
        <v>300</v>
      </c>
    </row>
    <row r="39" spans="1:12" s="569" customFormat="1">
      <c r="A39" s="628"/>
      <c r="B39" s="570" t="s">
        <v>210</v>
      </c>
      <c r="C39" s="572">
        <v>7.5</v>
      </c>
      <c r="D39" s="572">
        <v>5.8810000000000002</v>
      </c>
      <c r="E39" s="596">
        <f t="shared" si="0"/>
        <v>1.6189999999999998</v>
      </c>
      <c r="F39" s="570" t="s">
        <v>514</v>
      </c>
      <c r="G39" s="572">
        <v>7</v>
      </c>
      <c r="H39" s="572">
        <v>5.5940000000000003</v>
      </c>
      <c r="I39" s="596">
        <f t="shared" si="1"/>
        <v>1.4059999999999997</v>
      </c>
      <c r="J39" s="595">
        <f t="shared" si="2"/>
        <v>1.75</v>
      </c>
      <c r="K39" s="570">
        <v>71</v>
      </c>
      <c r="L39" s="570">
        <v>300</v>
      </c>
    </row>
    <row r="40" spans="1:12" s="569" customFormat="1">
      <c r="A40" s="628"/>
      <c r="B40" s="570"/>
      <c r="C40" s="572"/>
      <c r="D40" s="572"/>
      <c r="E40" s="596">
        <f t="shared" si="0"/>
        <v>0</v>
      </c>
      <c r="F40" s="570"/>
      <c r="G40" s="572"/>
      <c r="H40" s="572"/>
      <c r="I40" s="596">
        <f t="shared" si="1"/>
        <v>0</v>
      </c>
      <c r="J40" s="595">
        <f t="shared" si="2"/>
        <v>0</v>
      </c>
      <c r="K40" s="570"/>
      <c r="L40" s="570"/>
    </row>
    <row r="41" spans="1:12" s="569" customFormat="1">
      <c r="A41" s="628"/>
      <c r="B41" s="570"/>
      <c r="C41" s="572"/>
      <c r="D41" s="572"/>
      <c r="E41" s="596">
        <f t="shared" si="0"/>
        <v>0</v>
      </c>
      <c r="F41" s="570"/>
      <c r="G41" s="572"/>
      <c r="H41" s="572"/>
      <c r="I41" s="596">
        <f t="shared" si="1"/>
        <v>0</v>
      </c>
      <c r="J41" s="595">
        <f t="shared" si="2"/>
        <v>0</v>
      </c>
      <c r="K41" s="570"/>
      <c r="L41" s="570"/>
    </row>
    <row r="42" spans="1:12" s="569" customFormat="1">
      <c r="A42" s="628"/>
      <c r="B42" s="570"/>
      <c r="C42" s="572"/>
      <c r="D42" s="572"/>
      <c r="E42" s="596">
        <f t="shared" si="0"/>
        <v>0</v>
      </c>
      <c r="F42" s="570"/>
      <c r="G42" s="572"/>
      <c r="H42" s="572"/>
      <c r="I42" s="596">
        <f t="shared" si="1"/>
        <v>0</v>
      </c>
      <c r="J42" s="595">
        <f t="shared" si="2"/>
        <v>0</v>
      </c>
      <c r="K42" s="570"/>
      <c r="L42" s="570"/>
    </row>
    <row r="43" spans="1:12" s="569" customFormat="1">
      <c r="A43" s="628"/>
      <c r="B43" s="570"/>
      <c r="C43" s="572"/>
      <c r="D43" s="572"/>
      <c r="E43" s="596">
        <f t="shared" si="0"/>
        <v>0</v>
      </c>
      <c r="F43" s="570"/>
      <c r="G43" s="572"/>
      <c r="H43" s="572"/>
      <c r="I43" s="596">
        <f t="shared" si="1"/>
        <v>0</v>
      </c>
      <c r="J43" s="595">
        <f t="shared" si="2"/>
        <v>0</v>
      </c>
      <c r="K43" s="570"/>
      <c r="L43" s="570"/>
    </row>
    <row r="44" spans="1:12" s="569" customFormat="1">
      <c r="A44" s="628"/>
      <c r="B44" s="570"/>
      <c r="C44" s="572"/>
      <c r="D44" s="572"/>
      <c r="E44" s="596">
        <f t="shared" si="0"/>
        <v>0</v>
      </c>
      <c r="F44" s="570"/>
      <c r="G44" s="572"/>
      <c r="H44" s="572"/>
      <c r="I44" s="596">
        <f t="shared" si="1"/>
        <v>0</v>
      </c>
      <c r="J44" s="595">
        <f t="shared" si="2"/>
        <v>0</v>
      </c>
      <c r="K44" s="570"/>
      <c r="L44" s="570"/>
    </row>
    <row r="45" spans="1:12" s="569" customFormat="1">
      <c r="A45" s="628"/>
      <c r="B45" s="570"/>
      <c r="C45" s="572"/>
      <c r="D45" s="572"/>
      <c r="E45" s="596">
        <f t="shared" si="0"/>
        <v>0</v>
      </c>
      <c r="F45" s="570"/>
      <c r="G45" s="572"/>
      <c r="H45" s="572"/>
      <c r="I45" s="596">
        <f t="shared" si="1"/>
        <v>0</v>
      </c>
      <c r="J45" s="595">
        <f t="shared" si="2"/>
        <v>0</v>
      </c>
      <c r="K45" s="570"/>
      <c r="L45" s="570"/>
    </row>
    <row r="46" spans="1:12" s="569" customFormat="1">
      <c r="A46" s="628"/>
      <c r="B46" s="570"/>
      <c r="C46" s="572"/>
      <c r="D46" s="572"/>
      <c r="E46" s="596">
        <f t="shared" si="0"/>
        <v>0</v>
      </c>
      <c r="F46" s="570"/>
      <c r="G46" s="572"/>
      <c r="H46" s="572"/>
      <c r="I46" s="596">
        <f t="shared" si="1"/>
        <v>0</v>
      </c>
      <c r="J46" s="595">
        <f t="shared" si="2"/>
        <v>0</v>
      </c>
      <c r="K46" s="570"/>
      <c r="L46" s="570"/>
    </row>
    <row r="47" spans="1:12" s="569" customFormat="1" ht="8" customHeight="1">
      <c r="A47" s="628"/>
      <c r="B47" s="586"/>
      <c r="C47" s="586"/>
      <c r="D47" s="586"/>
      <c r="E47" s="568"/>
      <c r="F47" s="568"/>
      <c r="G47" s="568"/>
      <c r="H47" s="568"/>
      <c r="I47" s="568"/>
      <c r="J47" s="568"/>
      <c r="K47" s="586"/>
      <c r="L47" s="627"/>
    </row>
    <row r="48" spans="1:12" s="569" customFormat="1" ht="15.5" customHeight="1">
      <c r="A48" s="626"/>
      <c r="B48" s="594"/>
      <c r="C48" s="594"/>
      <c r="D48" s="594"/>
      <c r="E48" s="593"/>
      <c r="F48" s="593"/>
      <c r="G48" s="593"/>
      <c r="H48" s="593"/>
      <c r="I48" s="593"/>
      <c r="J48" s="592" t="s">
        <v>65</v>
      </c>
      <c r="K48" s="591">
        <f>SUM(K6:K46)</f>
        <v>947</v>
      </c>
      <c r="L48" s="590"/>
    </row>
    <row r="49" spans="1:13" s="569" customFormat="1" ht="20" customHeight="1">
      <c r="A49" s="625" t="s">
        <v>43</v>
      </c>
      <c r="B49" s="588"/>
      <c r="C49" s="588"/>
      <c r="D49" s="588"/>
      <c r="E49" s="587"/>
      <c r="F49" s="568"/>
      <c r="G49" s="568"/>
      <c r="H49" s="568"/>
      <c r="I49" s="568"/>
      <c r="J49" s="568"/>
      <c r="K49" s="568"/>
      <c r="L49" s="586"/>
    </row>
    <row r="50" spans="1:13" ht="16">
      <c r="A50" s="624" t="s">
        <v>40</v>
      </c>
      <c r="B50" s="581"/>
      <c r="C50" s="581"/>
      <c r="D50" s="581"/>
      <c r="E50" s="623"/>
      <c r="F50" s="581"/>
      <c r="G50" s="581"/>
      <c r="H50" s="582"/>
      <c r="I50" s="582"/>
      <c r="J50" s="581"/>
      <c r="K50" s="581"/>
      <c r="L50" s="567"/>
      <c r="M50" s="569"/>
    </row>
    <row r="51" spans="1:13" ht="21" customHeight="1">
      <c r="A51" s="622" t="s">
        <v>0</v>
      </c>
      <c r="B51" s="579" t="s">
        <v>56</v>
      </c>
      <c r="C51" s="579" t="s">
        <v>57</v>
      </c>
      <c r="D51" s="579" t="s">
        <v>37</v>
      </c>
      <c r="E51" s="578" t="s">
        <v>70</v>
      </c>
      <c r="M51" s="569"/>
    </row>
    <row r="52" spans="1:13">
      <c r="A52" s="570"/>
      <c r="B52" s="572"/>
      <c r="C52" s="572"/>
      <c r="D52" s="621">
        <f t="shared" ref="D52:D94" si="3">CEILING(B52-C52,0.25)</f>
        <v>0</v>
      </c>
      <c r="E52" s="570"/>
      <c r="M52" s="569"/>
    </row>
    <row r="53" spans="1:13">
      <c r="A53" s="570" t="s">
        <v>97</v>
      </c>
      <c r="B53" s="572">
        <v>9.6199999999999992</v>
      </c>
      <c r="C53" s="572">
        <v>7.4420000000000002</v>
      </c>
      <c r="D53" s="620">
        <f t="shared" si="3"/>
        <v>2.25</v>
      </c>
      <c r="E53" s="570">
        <v>750</v>
      </c>
      <c r="M53" s="569"/>
    </row>
    <row r="54" spans="1:13">
      <c r="A54" s="570" t="s">
        <v>96</v>
      </c>
      <c r="B54" s="572">
        <v>9.8000000000000007</v>
      </c>
      <c r="C54" s="572">
        <v>7.35</v>
      </c>
      <c r="D54" s="620">
        <f t="shared" si="3"/>
        <v>2.5</v>
      </c>
      <c r="E54" s="570">
        <v>750</v>
      </c>
      <c r="M54" s="569"/>
    </row>
    <row r="55" spans="1:13">
      <c r="A55" s="570" t="s">
        <v>89</v>
      </c>
      <c r="B55" s="572">
        <v>9.5</v>
      </c>
      <c r="C55" s="572">
        <v>7.2549999999999999</v>
      </c>
      <c r="D55" s="620">
        <f t="shared" si="3"/>
        <v>2.25</v>
      </c>
      <c r="E55" s="570">
        <v>750</v>
      </c>
      <c r="M55" s="569"/>
    </row>
    <row r="56" spans="1:13">
      <c r="A56" s="570" t="s">
        <v>88</v>
      </c>
      <c r="B56" s="572">
        <v>9.5500000000000007</v>
      </c>
      <c r="C56" s="572">
        <v>7.0359999999999996</v>
      </c>
      <c r="D56" s="620">
        <f t="shared" si="3"/>
        <v>2.75</v>
      </c>
      <c r="E56" s="570">
        <v>750</v>
      </c>
      <c r="M56" s="569"/>
    </row>
    <row r="57" spans="1:13">
      <c r="A57" s="570" t="s">
        <v>87</v>
      </c>
      <c r="B57" s="572">
        <v>9.5500000000000007</v>
      </c>
      <c r="C57" s="572">
        <v>7.0129999999999999</v>
      </c>
      <c r="D57" s="620">
        <f t="shared" si="3"/>
        <v>2.75</v>
      </c>
      <c r="E57" s="570">
        <v>750</v>
      </c>
      <c r="M57" s="569"/>
    </row>
    <row r="58" spans="1:13">
      <c r="A58" s="570" t="s">
        <v>86</v>
      </c>
      <c r="B58" s="572">
        <v>9.5</v>
      </c>
      <c r="C58" s="572">
        <v>6.9450000000000003</v>
      </c>
      <c r="D58" s="620">
        <f t="shared" si="3"/>
        <v>2.75</v>
      </c>
      <c r="E58" s="570">
        <v>750</v>
      </c>
      <c r="M58" s="569"/>
    </row>
    <row r="59" spans="1:13">
      <c r="A59" s="570" t="s">
        <v>85</v>
      </c>
      <c r="B59" s="572">
        <v>9.6999999999999993</v>
      </c>
      <c r="C59" s="572">
        <v>6.859</v>
      </c>
      <c r="D59" s="620">
        <f t="shared" si="3"/>
        <v>3</v>
      </c>
      <c r="E59" s="570">
        <v>750</v>
      </c>
      <c r="M59" s="569"/>
    </row>
    <row r="60" spans="1:13">
      <c r="A60" s="570" t="s">
        <v>84</v>
      </c>
      <c r="B60" s="572">
        <v>9.3000000000000007</v>
      </c>
      <c r="C60" s="572">
        <v>6.7960000000000003</v>
      </c>
      <c r="D60" s="620">
        <f t="shared" si="3"/>
        <v>2.75</v>
      </c>
      <c r="E60" s="570">
        <v>750</v>
      </c>
      <c r="M60" s="569"/>
    </row>
    <row r="61" spans="1:13">
      <c r="A61" s="570" t="s">
        <v>517</v>
      </c>
      <c r="B61" s="572">
        <v>8.5500000000000007</v>
      </c>
      <c r="C61" s="572">
        <v>6.7510000000000003</v>
      </c>
      <c r="D61" s="620">
        <f t="shared" si="3"/>
        <v>2</v>
      </c>
      <c r="E61" s="570"/>
      <c r="M61" s="569"/>
    </row>
    <row r="62" spans="1:13">
      <c r="A62" s="570" t="s">
        <v>92</v>
      </c>
      <c r="B62" s="572">
        <v>10</v>
      </c>
      <c r="C62" s="572">
        <v>8.6</v>
      </c>
      <c r="D62" s="620">
        <f t="shared" si="3"/>
        <v>1.5</v>
      </c>
      <c r="E62" s="570">
        <v>225</v>
      </c>
      <c r="M62" s="569"/>
    </row>
    <row r="63" spans="1:13">
      <c r="A63" s="570" t="s">
        <v>91</v>
      </c>
      <c r="B63" s="572">
        <v>10.1</v>
      </c>
      <c r="C63" s="572">
        <v>8.17</v>
      </c>
      <c r="D63" s="620">
        <f t="shared" si="3"/>
        <v>2</v>
      </c>
      <c r="E63" s="570">
        <v>375</v>
      </c>
      <c r="M63" s="569"/>
    </row>
    <row r="64" spans="1:13">
      <c r="A64" s="570"/>
      <c r="B64" s="572"/>
      <c r="C64" s="572"/>
      <c r="D64" s="620">
        <f t="shared" si="3"/>
        <v>0</v>
      </c>
      <c r="E64" s="570"/>
      <c r="M64" s="569"/>
    </row>
    <row r="65" spans="1:13">
      <c r="A65" s="570" t="s">
        <v>95</v>
      </c>
      <c r="B65" s="572">
        <v>9.6</v>
      </c>
      <c r="C65" s="572">
        <v>8.3450000000000006</v>
      </c>
      <c r="D65" s="620">
        <f t="shared" si="3"/>
        <v>1.5</v>
      </c>
      <c r="E65" s="570">
        <v>225</v>
      </c>
      <c r="M65" s="569"/>
    </row>
    <row r="66" spans="1:13">
      <c r="A66" s="570"/>
      <c r="B66" s="572"/>
      <c r="C66" s="572"/>
      <c r="D66" s="620">
        <f t="shared" si="3"/>
        <v>0</v>
      </c>
      <c r="E66" s="570"/>
      <c r="M66" s="569"/>
    </row>
    <row r="67" spans="1:13">
      <c r="A67" s="570" t="s">
        <v>94</v>
      </c>
      <c r="B67" s="572">
        <v>1.2</v>
      </c>
      <c r="C67" s="572">
        <v>8.6</v>
      </c>
      <c r="D67" s="620">
        <f t="shared" si="3"/>
        <v>-7.25</v>
      </c>
      <c r="E67" s="570">
        <v>225</v>
      </c>
      <c r="M67" s="569"/>
    </row>
    <row r="68" spans="1:13">
      <c r="A68" s="570" t="s">
        <v>93</v>
      </c>
      <c r="B68" s="572">
        <v>10</v>
      </c>
      <c r="C68" s="572">
        <v>8.1910000000000007</v>
      </c>
      <c r="D68" s="620">
        <f t="shared" si="3"/>
        <v>2</v>
      </c>
      <c r="E68" s="570">
        <v>375</v>
      </c>
      <c r="M68" s="569"/>
    </row>
    <row r="69" spans="1:13">
      <c r="A69" s="570"/>
      <c r="B69" s="572"/>
      <c r="C69" s="572"/>
      <c r="D69" s="620">
        <f t="shared" si="3"/>
        <v>0</v>
      </c>
      <c r="E69" s="570"/>
      <c r="M69" s="569"/>
    </row>
    <row r="70" spans="1:13">
      <c r="A70" s="570" t="s">
        <v>90</v>
      </c>
      <c r="B70" s="572">
        <v>9.6999999999999993</v>
      </c>
      <c r="C70" s="572">
        <v>7.8849999999999998</v>
      </c>
      <c r="D70" s="620">
        <f t="shared" si="3"/>
        <v>2</v>
      </c>
      <c r="E70" s="570">
        <v>525</v>
      </c>
      <c r="M70" s="569"/>
    </row>
    <row r="71" spans="1:13">
      <c r="A71" s="570"/>
      <c r="B71" s="572"/>
      <c r="C71" s="572"/>
      <c r="D71" s="620">
        <f t="shared" si="3"/>
        <v>0</v>
      </c>
      <c r="E71" s="570"/>
      <c r="M71" s="569"/>
    </row>
    <row r="72" spans="1:13">
      <c r="A72" s="570" t="s">
        <v>218</v>
      </c>
      <c r="B72" s="572">
        <v>9.4</v>
      </c>
      <c r="C72" s="572">
        <v>8.0139999999999993</v>
      </c>
      <c r="D72" s="620">
        <f t="shared" si="3"/>
        <v>1.5</v>
      </c>
      <c r="E72" s="570">
        <v>300</v>
      </c>
      <c r="M72" s="569"/>
    </row>
    <row r="73" spans="1:13">
      <c r="A73" s="570" t="s">
        <v>204</v>
      </c>
      <c r="B73" s="572">
        <v>9.5</v>
      </c>
      <c r="C73" s="572">
        <v>7.6980000000000004</v>
      </c>
      <c r="D73" s="620">
        <f t="shared" si="3"/>
        <v>2</v>
      </c>
      <c r="E73" s="570">
        <v>300</v>
      </c>
      <c r="M73" s="569"/>
    </row>
    <row r="74" spans="1:13">
      <c r="A74" s="570" t="s">
        <v>98</v>
      </c>
      <c r="B74" s="572">
        <v>9.5</v>
      </c>
      <c r="C74" s="572">
        <v>7.6349999999999998</v>
      </c>
      <c r="D74" s="620">
        <f t="shared" si="3"/>
        <v>2</v>
      </c>
      <c r="E74" s="570">
        <v>300</v>
      </c>
      <c r="M74" s="569"/>
    </row>
    <row r="75" spans="1:13">
      <c r="A75" s="570"/>
      <c r="B75" s="572"/>
      <c r="C75" s="572"/>
      <c r="D75" s="620">
        <f t="shared" si="3"/>
        <v>0</v>
      </c>
      <c r="E75" s="570"/>
      <c r="M75" s="569"/>
    </row>
    <row r="76" spans="1:13">
      <c r="A76" s="570" t="s">
        <v>99</v>
      </c>
      <c r="B76" s="572">
        <v>9.1</v>
      </c>
      <c r="C76" s="572">
        <v>7.484</v>
      </c>
      <c r="D76" s="620">
        <f t="shared" si="3"/>
        <v>1.75</v>
      </c>
      <c r="E76" s="570">
        <v>225</v>
      </c>
      <c r="M76" s="569"/>
    </row>
    <row r="77" spans="1:13">
      <c r="A77" s="570" t="s">
        <v>102</v>
      </c>
      <c r="B77" s="572">
        <v>8.6</v>
      </c>
      <c r="C77" s="572">
        <v>7.4749999999999996</v>
      </c>
      <c r="D77" s="620">
        <f t="shared" si="3"/>
        <v>1.25</v>
      </c>
      <c r="E77" s="570">
        <v>225</v>
      </c>
      <c r="M77" s="569"/>
    </row>
    <row r="78" spans="1:13">
      <c r="A78" s="570" t="s">
        <v>219</v>
      </c>
      <c r="B78" s="572">
        <v>9.1</v>
      </c>
      <c r="C78" s="572">
        <v>7.3449999999999998</v>
      </c>
      <c r="D78" s="620">
        <f t="shared" si="3"/>
        <v>2</v>
      </c>
      <c r="E78" s="570">
        <v>300</v>
      </c>
      <c r="M78" s="569"/>
    </row>
    <row r="79" spans="1:13">
      <c r="A79" s="570"/>
      <c r="B79" s="572"/>
      <c r="C79" s="572"/>
      <c r="D79" s="620">
        <f t="shared" si="3"/>
        <v>0</v>
      </c>
      <c r="E79" s="570"/>
      <c r="M79" s="569"/>
    </row>
    <row r="80" spans="1:13">
      <c r="A80" s="570" t="s">
        <v>516</v>
      </c>
      <c r="B80" s="572">
        <v>8.5</v>
      </c>
      <c r="C80" s="572">
        <v>6.7</v>
      </c>
      <c r="D80" s="620">
        <f t="shared" si="3"/>
        <v>2</v>
      </c>
      <c r="E80" s="570">
        <v>900</v>
      </c>
      <c r="M80" s="569"/>
    </row>
    <row r="81" spans="1:13">
      <c r="A81" s="570" t="s">
        <v>515</v>
      </c>
      <c r="B81" s="572">
        <v>8.5</v>
      </c>
      <c r="C81" s="572">
        <v>6.6689999999999996</v>
      </c>
      <c r="D81" s="620">
        <f t="shared" si="3"/>
        <v>2</v>
      </c>
      <c r="E81" s="570">
        <v>300</v>
      </c>
      <c r="M81" s="569"/>
    </row>
    <row r="82" spans="1:13">
      <c r="A82" s="570" t="s">
        <v>80</v>
      </c>
      <c r="B82" s="572">
        <v>8</v>
      </c>
      <c r="C82" s="572">
        <v>6.2359999999999998</v>
      </c>
      <c r="D82" s="620">
        <f t="shared" si="3"/>
        <v>2</v>
      </c>
      <c r="E82" s="570">
        <v>300</v>
      </c>
      <c r="M82" s="569"/>
    </row>
    <row r="83" spans="1:13">
      <c r="A83" s="570" t="s">
        <v>362</v>
      </c>
      <c r="B83" s="572">
        <v>7.5</v>
      </c>
      <c r="C83" s="572">
        <v>6.1059999999999999</v>
      </c>
      <c r="D83" s="620">
        <f t="shared" si="3"/>
        <v>1.5</v>
      </c>
      <c r="E83" s="570">
        <v>300</v>
      </c>
      <c r="M83" s="569"/>
    </row>
    <row r="84" spans="1:13">
      <c r="A84" s="570" t="s">
        <v>209</v>
      </c>
      <c r="B84" s="572">
        <v>7.5</v>
      </c>
      <c r="C84" s="572">
        <v>6.0279999999999996</v>
      </c>
      <c r="D84" s="620">
        <f t="shared" si="3"/>
        <v>1.5</v>
      </c>
      <c r="E84" s="570">
        <v>300</v>
      </c>
      <c r="M84" s="569"/>
    </row>
    <row r="85" spans="1:13">
      <c r="A85" s="570" t="s">
        <v>210</v>
      </c>
      <c r="B85" s="572">
        <v>7.5</v>
      </c>
      <c r="C85" s="572">
        <v>5.8810000000000002</v>
      </c>
      <c r="D85" s="620">
        <f t="shared" si="3"/>
        <v>1.75</v>
      </c>
      <c r="E85" s="570">
        <v>300</v>
      </c>
      <c r="M85" s="569"/>
    </row>
    <row r="86" spans="1:13">
      <c r="A86" s="570"/>
      <c r="B86" s="572"/>
      <c r="C86" s="572"/>
      <c r="D86" s="620">
        <f t="shared" si="3"/>
        <v>0</v>
      </c>
      <c r="E86" s="570"/>
      <c r="M86" s="569"/>
    </row>
    <row r="87" spans="1:13">
      <c r="A87" s="570" t="s">
        <v>514</v>
      </c>
      <c r="B87" s="572">
        <v>7</v>
      </c>
      <c r="C87" s="572">
        <v>5.5940000000000003</v>
      </c>
      <c r="D87" s="620">
        <f t="shared" si="3"/>
        <v>1.5</v>
      </c>
      <c r="E87" s="570">
        <v>300</v>
      </c>
      <c r="M87" s="569"/>
    </row>
    <row r="88" spans="1:13">
      <c r="A88" s="570"/>
      <c r="B88" s="572"/>
      <c r="C88" s="572"/>
      <c r="D88" s="620">
        <f t="shared" si="3"/>
        <v>0</v>
      </c>
      <c r="E88" s="570"/>
      <c r="M88" s="569"/>
    </row>
    <row r="89" spans="1:13">
      <c r="A89" s="570"/>
      <c r="B89" s="572"/>
      <c r="C89" s="572"/>
      <c r="D89" s="620">
        <f t="shared" si="3"/>
        <v>0</v>
      </c>
      <c r="E89" s="570"/>
      <c r="M89" s="569"/>
    </row>
    <row r="90" spans="1:13">
      <c r="A90" s="570"/>
      <c r="B90" s="572"/>
      <c r="C90" s="572"/>
      <c r="D90" s="620">
        <f t="shared" si="3"/>
        <v>0</v>
      </c>
      <c r="E90" s="570"/>
      <c r="M90" s="569"/>
    </row>
    <row r="91" spans="1:13">
      <c r="A91" s="570"/>
      <c r="B91" s="572"/>
      <c r="C91" s="572"/>
      <c r="D91" s="620">
        <f t="shared" si="3"/>
        <v>0</v>
      </c>
      <c r="E91" s="570"/>
      <c r="M91" s="569"/>
    </row>
    <row r="92" spans="1:13">
      <c r="A92" s="570"/>
      <c r="B92" s="572"/>
      <c r="C92" s="572"/>
      <c r="D92" s="620">
        <f t="shared" si="3"/>
        <v>0</v>
      </c>
      <c r="E92" s="570"/>
      <c r="M92" s="569"/>
    </row>
    <row r="93" spans="1:13">
      <c r="A93" s="570"/>
      <c r="B93" s="572"/>
      <c r="C93" s="572"/>
      <c r="D93" s="620">
        <f t="shared" si="3"/>
        <v>0</v>
      </c>
      <c r="E93" s="570"/>
      <c r="M93" s="569"/>
    </row>
    <row r="94" spans="1:13">
      <c r="A94" s="570"/>
      <c r="B94" s="572"/>
      <c r="C94" s="572"/>
      <c r="D94" s="620">
        <f t="shared" si="3"/>
        <v>0</v>
      </c>
      <c r="E94" s="570"/>
      <c r="M94" s="569"/>
    </row>
    <row r="95" spans="1:13">
      <c r="A95" s="570"/>
      <c r="B95" s="572"/>
      <c r="C95" s="572"/>
      <c r="D95" s="574"/>
      <c r="E95" s="570"/>
      <c r="M95" s="569"/>
    </row>
    <row r="96" spans="1:13">
      <c r="A96" s="570"/>
      <c r="B96" s="572"/>
      <c r="C96" s="572"/>
      <c r="D96" s="574"/>
      <c r="E96" s="570"/>
      <c r="M96" s="569"/>
    </row>
    <row r="97" spans="1:13">
      <c r="A97" s="618"/>
      <c r="B97" s="619"/>
      <c r="C97" s="619"/>
      <c r="D97" s="574"/>
      <c r="E97" s="618"/>
      <c r="M97" s="569"/>
    </row>
    <row r="98" spans="1:13">
      <c r="A98" s="617"/>
      <c r="B98" s="614"/>
      <c r="C98" s="1197" t="s">
        <v>513</v>
      </c>
      <c r="D98" s="1197"/>
      <c r="E98" s="614"/>
      <c r="F98" s="615"/>
      <c r="G98" s="615"/>
      <c r="H98" s="616"/>
      <c r="I98" s="616"/>
      <c r="J98" s="615"/>
      <c r="K98" s="615"/>
      <c r="L98" s="614"/>
      <c r="M98" s="569"/>
    </row>
    <row r="99" spans="1:13">
      <c r="A99" s="613"/>
      <c r="C99" s="612">
        <v>43413</v>
      </c>
      <c r="M99" s="569"/>
    </row>
    <row r="100" spans="1:13" ht="16">
      <c r="A100" s="611" t="s">
        <v>378</v>
      </c>
      <c r="B100" s="610" t="s">
        <v>45</v>
      </c>
      <c r="C100" s="584"/>
      <c r="D100" s="584"/>
      <c r="E100" s="581"/>
      <c r="F100" s="581"/>
      <c r="G100" s="582"/>
      <c r="H100" s="582"/>
      <c r="I100" s="581"/>
      <c r="J100" s="581"/>
      <c r="K100" s="584"/>
      <c r="L100" s="583"/>
      <c r="M100" s="569"/>
    </row>
    <row r="101" spans="1:13">
      <c r="A101" s="584"/>
      <c r="B101" s="609" t="s">
        <v>47</v>
      </c>
      <c r="C101" s="606"/>
      <c r="D101" s="606"/>
      <c r="E101" s="607"/>
      <c r="F101" s="607" t="s">
        <v>48</v>
      </c>
      <c r="G101" s="608"/>
      <c r="H101" s="608"/>
      <c r="I101" s="607"/>
      <c r="J101" s="607"/>
      <c r="K101" s="606"/>
      <c r="L101" s="605"/>
      <c r="M101" s="569"/>
    </row>
    <row r="102" spans="1:13" ht="14">
      <c r="A102" s="584"/>
      <c r="B102" s="604" t="s">
        <v>16</v>
      </c>
      <c r="C102" s="603" t="s">
        <v>56</v>
      </c>
      <c r="D102" s="603" t="s">
        <v>57</v>
      </c>
      <c r="E102" s="599" t="s">
        <v>37</v>
      </c>
      <c r="F102" s="602" t="s">
        <v>16</v>
      </c>
      <c r="G102" s="600" t="s">
        <v>56</v>
      </c>
      <c r="H102" s="600" t="s">
        <v>57</v>
      </c>
      <c r="I102" s="599" t="s">
        <v>37</v>
      </c>
      <c r="J102" s="601" t="s">
        <v>512</v>
      </c>
      <c r="K102" s="600" t="s">
        <v>38</v>
      </c>
      <c r="L102" s="599" t="s">
        <v>59</v>
      </c>
      <c r="M102" s="569"/>
    </row>
    <row r="103" spans="1:13">
      <c r="B103" s="570"/>
      <c r="C103" s="572"/>
      <c r="D103" s="572"/>
      <c r="E103" s="598">
        <f t="shared" ref="E103:E118" si="4">C103-D103</f>
        <v>0</v>
      </c>
      <c r="F103" s="570"/>
      <c r="G103" s="572"/>
      <c r="H103" s="572"/>
      <c r="I103" s="598">
        <f t="shared" ref="I103:I118" si="5">G103-H103</f>
        <v>0</v>
      </c>
      <c r="J103" s="597">
        <f t="shared" ref="J103:J118" si="6">CEILING((E103+I103)/2,0.25)</f>
        <v>0</v>
      </c>
      <c r="K103" s="573"/>
      <c r="L103" s="573"/>
      <c r="M103" s="569"/>
    </row>
    <row r="104" spans="1:13">
      <c r="B104" s="570" t="s">
        <v>511</v>
      </c>
      <c r="C104" s="572">
        <v>7.7</v>
      </c>
      <c r="D104" s="572">
        <v>4.5999999999999996</v>
      </c>
      <c r="E104" s="596">
        <f t="shared" si="4"/>
        <v>3.1000000000000005</v>
      </c>
      <c r="F104" s="570" t="s">
        <v>510</v>
      </c>
      <c r="G104" s="572">
        <v>7.7</v>
      </c>
      <c r="H104" s="572">
        <v>4.5449999999999999</v>
      </c>
      <c r="I104" s="596">
        <f t="shared" si="5"/>
        <v>3.1550000000000002</v>
      </c>
      <c r="J104" s="595">
        <f t="shared" si="6"/>
        <v>3.25</v>
      </c>
      <c r="K104" s="573">
        <v>22</v>
      </c>
      <c r="L104" s="573">
        <v>600</v>
      </c>
      <c r="M104" s="569"/>
    </row>
    <row r="105" spans="1:13">
      <c r="B105" s="570" t="s">
        <v>510</v>
      </c>
      <c r="C105" s="572">
        <v>7.7</v>
      </c>
      <c r="D105" s="572">
        <v>4.5449999999999999</v>
      </c>
      <c r="E105" s="596">
        <f t="shared" si="4"/>
        <v>3.1550000000000002</v>
      </c>
      <c r="F105" s="570" t="s">
        <v>509</v>
      </c>
      <c r="G105" s="572">
        <v>7.7</v>
      </c>
      <c r="H105" s="572">
        <v>4.3940000000000001</v>
      </c>
      <c r="I105" s="596">
        <f t="shared" si="5"/>
        <v>3.306</v>
      </c>
      <c r="J105" s="595">
        <f t="shared" si="6"/>
        <v>3.25</v>
      </c>
      <c r="K105" s="573">
        <v>60</v>
      </c>
      <c r="L105" s="573">
        <v>600</v>
      </c>
      <c r="M105" s="569"/>
    </row>
    <row r="106" spans="1:13">
      <c r="B106" s="570" t="s">
        <v>509</v>
      </c>
      <c r="C106" s="572">
        <v>7.7</v>
      </c>
      <c r="D106" s="572">
        <v>4.3940000000000001</v>
      </c>
      <c r="E106" s="596">
        <f t="shared" si="4"/>
        <v>3.306</v>
      </c>
      <c r="F106" s="570" t="s">
        <v>508</v>
      </c>
      <c r="G106" s="572">
        <v>7.7</v>
      </c>
      <c r="H106" s="572">
        <v>4.2290000000000001</v>
      </c>
      <c r="I106" s="596">
        <f t="shared" si="5"/>
        <v>3.4710000000000001</v>
      </c>
      <c r="J106" s="595">
        <f t="shared" si="6"/>
        <v>3.5</v>
      </c>
      <c r="K106" s="573">
        <v>66</v>
      </c>
      <c r="L106" s="573">
        <v>600</v>
      </c>
      <c r="M106" s="569"/>
    </row>
    <row r="107" spans="1:13">
      <c r="B107" s="570" t="s">
        <v>508</v>
      </c>
      <c r="C107" s="572">
        <v>7.7</v>
      </c>
      <c r="D107" s="572">
        <v>4.2290000000000001</v>
      </c>
      <c r="E107" s="596">
        <f t="shared" si="4"/>
        <v>3.4710000000000001</v>
      </c>
      <c r="F107" s="570" t="s">
        <v>507</v>
      </c>
      <c r="G107" s="572">
        <v>7.5</v>
      </c>
      <c r="H107" s="572">
        <v>4.1040000000000001</v>
      </c>
      <c r="I107" s="596">
        <f t="shared" si="5"/>
        <v>3.3959999999999999</v>
      </c>
      <c r="J107" s="595">
        <f t="shared" si="6"/>
        <v>3.5</v>
      </c>
      <c r="K107" s="573">
        <v>50</v>
      </c>
      <c r="L107" s="573">
        <v>600</v>
      </c>
      <c r="M107" s="569"/>
    </row>
    <row r="108" spans="1:13">
      <c r="B108" s="570" t="s">
        <v>507</v>
      </c>
      <c r="C108" s="572">
        <v>7.5</v>
      </c>
      <c r="D108" s="572">
        <v>4.1040000000000001</v>
      </c>
      <c r="E108" s="596">
        <f t="shared" si="4"/>
        <v>3.3959999999999999</v>
      </c>
      <c r="F108" s="570" t="s">
        <v>506</v>
      </c>
      <c r="G108" s="572">
        <v>7.5</v>
      </c>
      <c r="H108" s="572">
        <v>3.93</v>
      </c>
      <c r="I108" s="596">
        <f t="shared" si="5"/>
        <v>3.57</v>
      </c>
      <c r="J108" s="595">
        <f t="shared" si="6"/>
        <v>3.5</v>
      </c>
      <c r="K108" s="573">
        <v>69</v>
      </c>
      <c r="L108" s="573">
        <v>600</v>
      </c>
      <c r="M108" s="569"/>
    </row>
    <row r="109" spans="1:13">
      <c r="B109" s="570" t="s">
        <v>506</v>
      </c>
      <c r="C109" s="572">
        <v>7.5</v>
      </c>
      <c r="D109" s="572">
        <v>3.93</v>
      </c>
      <c r="E109" s="596">
        <f t="shared" si="4"/>
        <v>3.57</v>
      </c>
      <c r="F109" s="570" t="s">
        <v>505</v>
      </c>
      <c r="G109" s="572">
        <v>7.7</v>
      </c>
      <c r="H109" s="572">
        <v>3.746</v>
      </c>
      <c r="I109" s="596">
        <f t="shared" si="5"/>
        <v>3.9540000000000002</v>
      </c>
      <c r="J109" s="595">
        <f t="shared" si="6"/>
        <v>4</v>
      </c>
      <c r="K109" s="573">
        <v>74</v>
      </c>
      <c r="L109" s="573">
        <v>600</v>
      </c>
      <c r="M109" s="569"/>
    </row>
    <row r="110" spans="1:13">
      <c r="B110" s="570" t="s">
        <v>505</v>
      </c>
      <c r="C110" s="572">
        <v>7.7</v>
      </c>
      <c r="D110" s="572">
        <v>3.746</v>
      </c>
      <c r="E110" s="596">
        <f t="shared" si="4"/>
        <v>3.9540000000000002</v>
      </c>
      <c r="F110" s="570" t="s">
        <v>504</v>
      </c>
      <c r="G110" s="572">
        <v>7.7</v>
      </c>
      <c r="H110" s="572">
        <v>3.645</v>
      </c>
      <c r="I110" s="596">
        <f t="shared" si="5"/>
        <v>4.0549999999999997</v>
      </c>
      <c r="J110" s="595">
        <f t="shared" si="6"/>
        <v>4.25</v>
      </c>
      <c r="K110" s="573">
        <v>41</v>
      </c>
      <c r="L110" s="573">
        <v>600</v>
      </c>
      <c r="M110" s="569"/>
    </row>
    <row r="111" spans="1:13">
      <c r="B111" s="570" t="s">
        <v>504</v>
      </c>
      <c r="C111" s="572">
        <v>7.7</v>
      </c>
      <c r="D111" s="572">
        <v>3.645</v>
      </c>
      <c r="E111" s="596">
        <f t="shared" si="4"/>
        <v>4.0549999999999997</v>
      </c>
      <c r="F111" s="570" t="s">
        <v>503</v>
      </c>
      <c r="G111" s="572">
        <v>7.5</v>
      </c>
      <c r="H111" s="572">
        <v>3.4830000000000001</v>
      </c>
      <c r="I111" s="596">
        <f t="shared" si="5"/>
        <v>4.0169999999999995</v>
      </c>
      <c r="J111" s="595">
        <f t="shared" si="6"/>
        <v>4.25</v>
      </c>
      <c r="K111" s="573">
        <v>65</v>
      </c>
      <c r="L111" s="573">
        <v>600</v>
      </c>
      <c r="M111" s="569"/>
    </row>
    <row r="112" spans="1:13">
      <c r="B112" s="570" t="s">
        <v>503</v>
      </c>
      <c r="C112" s="572">
        <v>7.5</v>
      </c>
      <c r="D112" s="572">
        <v>3.4830000000000001</v>
      </c>
      <c r="E112" s="596">
        <f t="shared" si="4"/>
        <v>4.0169999999999995</v>
      </c>
      <c r="F112" s="570" t="s">
        <v>502</v>
      </c>
      <c r="G112" s="572">
        <v>7.5</v>
      </c>
      <c r="H112" s="572">
        <v>3.464</v>
      </c>
      <c r="I112" s="596">
        <f t="shared" si="5"/>
        <v>4.0359999999999996</v>
      </c>
      <c r="J112" s="595">
        <f t="shared" si="6"/>
        <v>4.25</v>
      </c>
      <c r="K112" s="573">
        <v>8</v>
      </c>
      <c r="L112" s="573">
        <v>600</v>
      </c>
      <c r="M112" s="569"/>
    </row>
    <row r="113" spans="1:13">
      <c r="B113" s="570" t="s">
        <v>502</v>
      </c>
      <c r="C113" s="572">
        <v>7.5</v>
      </c>
      <c r="D113" s="572">
        <v>3.464</v>
      </c>
      <c r="E113" s="596">
        <f t="shared" si="4"/>
        <v>4.0359999999999996</v>
      </c>
      <c r="F113" s="570" t="s">
        <v>501</v>
      </c>
      <c r="G113" s="572">
        <v>7.5</v>
      </c>
      <c r="H113" s="572">
        <v>3.3919999999999999</v>
      </c>
      <c r="I113" s="596">
        <f t="shared" si="5"/>
        <v>4.1080000000000005</v>
      </c>
      <c r="J113" s="595">
        <f t="shared" si="6"/>
        <v>4.25</v>
      </c>
      <c r="K113" s="573">
        <v>29</v>
      </c>
      <c r="L113" s="573">
        <v>600</v>
      </c>
      <c r="M113" s="569"/>
    </row>
    <row r="114" spans="1:13">
      <c r="B114" s="570" t="s">
        <v>501</v>
      </c>
      <c r="C114" s="572">
        <v>7.5</v>
      </c>
      <c r="D114" s="572">
        <v>3.3919999999999999</v>
      </c>
      <c r="E114" s="596">
        <f t="shared" si="4"/>
        <v>4.1080000000000005</v>
      </c>
      <c r="F114" s="570" t="s">
        <v>500</v>
      </c>
      <c r="G114" s="572">
        <v>8</v>
      </c>
      <c r="H114" s="572">
        <v>3.2210000000000001</v>
      </c>
      <c r="I114" s="596">
        <f t="shared" si="5"/>
        <v>4.7789999999999999</v>
      </c>
      <c r="J114" s="595">
        <f t="shared" si="6"/>
        <v>4.5</v>
      </c>
      <c r="K114" s="573">
        <v>69</v>
      </c>
      <c r="L114" s="573">
        <v>600</v>
      </c>
      <c r="M114" s="569"/>
    </row>
    <row r="115" spans="1:13">
      <c r="B115" s="570"/>
      <c r="C115" s="572"/>
      <c r="D115" s="572"/>
      <c r="E115" s="596">
        <f t="shared" si="4"/>
        <v>0</v>
      </c>
      <c r="F115" s="570"/>
      <c r="G115" s="572"/>
      <c r="H115" s="572"/>
      <c r="I115" s="596">
        <f t="shared" si="5"/>
        <v>0</v>
      </c>
      <c r="J115" s="595">
        <f t="shared" si="6"/>
        <v>0</v>
      </c>
      <c r="K115" s="573"/>
      <c r="L115" s="573"/>
      <c r="M115" s="569"/>
    </row>
    <row r="116" spans="1:13">
      <c r="B116" s="570"/>
      <c r="C116" s="572"/>
      <c r="D116" s="572"/>
      <c r="E116" s="596">
        <f t="shared" si="4"/>
        <v>0</v>
      </c>
      <c r="F116" s="570"/>
      <c r="G116" s="572"/>
      <c r="H116" s="572"/>
      <c r="I116" s="596">
        <f t="shared" si="5"/>
        <v>0</v>
      </c>
      <c r="J116" s="595">
        <f t="shared" si="6"/>
        <v>0</v>
      </c>
      <c r="K116" s="573"/>
      <c r="L116" s="573"/>
      <c r="M116" s="569"/>
    </row>
    <row r="117" spans="1:13">
      <c r="B117" s="570"/>
      <c r="C117" s="572"/>
      <c r="D117" s="572"/>
      <c r="E117" s="596">
        <f t="shared" si="4"/>
        <v>0</v>
      </c>
      <c r="F117" s="570"/>
      <c r="G117" s="572"/>
      <c r="H117" s="572"/>
      <c r="I117" s="596">
        <f t="shared" si="5"/>
        <v>0</v>
      </c>
      <c r="J117" s="595">
        <f t="shared" si="6"/>
        <v>0</v>
      </c>
      <c r="K117" s="573"/>
      <c r="L117" s="573"/>
      <c r="M117" s="565"/>
    </row>
    <row r="118" spans="1:13">
      <c r="B118" s="570"/>
      <c r="C118" s="572"/>
      <c r="D118" s="572"/>
      <c r="E118" s="596">
        <f t="shared" si="4"/>
        <v>0</v>
      </c>
      <c r="F118" s="570"/>
      <c r="G118" s="572"/>
      <c r="H118" s="572"/>
      <c r="I118" s="596">
        <f t="shared" si="5"/>
        <v>0</v>
      </c>
      <c r="J118" s="595">
        <f t="shared" si="6"/>
        <v>0</v>
      </c>
      <c r="K118" s="573"/>
      <c r="L118" s="573"/>
      <c r="M118" s="565"/>
    </row>
    <row r="119" spans="1:13" s="569" customFormat="1" ht="12.5" customHeight="1">
      <c r="A119" s="594"/>
      <c r="B119" s="594"/>
      <c r="C119" s="594"/>
      <c r="D119" s="594"/>
      <c r="E119" s="593"/>
      <c r="F119" s="593"/>
      <c r="G119" s="593"/>
      <c r="H119" s="593"/>
      <c r="I119" s="593"/>
      <c r="J119" s="592" t="s">
        <v>65</v>
      </c>
      <c r="K119" s="591">
        <f>SUM(K103:K118)</f>
        <v>553</v>
      </c>
      <c r="L119" s="590"/>
    </row>
    <row r="120" spans="1:13" s="569" customFormat="1" ht="20" customHeight="1">
      <c r="A120" s="589" t="s">
        <v>378</v>
      </c>
      <c r="B120" s="588"/>
      <c r="C120" s="588"/>
      <c r="D120" s="588"/>
      <c r="E120" s="587"/>
      <c r="F120" s="568"/>
      <c r="G120" s="568"/>
      <c r="H120" s="568"/>
      <c r="I120" s="568"/>
      <c r="J120" s="568"/>
      <c r="K120" s="568"/>
      <c r="L120" s="586"/>
    </row>
    <row r="121" spans="1:13" ht="16">
      <c r="A121" s="585" t="s">
        <v>40</v>
      </c>
      <c r="B121" s="584"/>
      <c r="C121" s="584"/>
      <c r="D121" s="584"/>
      <c r="E121" s="583"/>
      <c r="F121" s="581"/>
      <c r="G121" s="581"/>
      <c r="H121" s="582"/>
      <c r="I121" s="582"/>
      <c r="J121" s="581"/>
      <c r="K121" s="581"/>
      <c r="M121" s="569"/>
    </row>
    <row r="122" spans="1:13">
      <c r="A122" s="580" t="s">
        <v>0</v>
      </c>
      <c r="B122" s="579" t="s">
        <v>56</v>
      </c>
      <c r="C122" s="579" t="s">
        <v>57</v>
      </c>
      <c r="D122" s="579" t="s">
        <v>37</v>
      </c>
      <c r="E122" s="578" t="s">
        <v>70</v>
      </c>
      <c r="M122" s="569"/>
    </row>
    <row r="123" spans="1:13">
      <c r="A123" s="577"/>
      <c r="B123" s="576"/>
      <c r="C123" s="576"/>
      <c r="D123" s="576"/>
      <c r="E123" s="575"/>
      <c r="M123" s="569"/>
    </row>
    <row r="124" spans="1:13">
      <c r="A124" s="570"/>
      <c r="B124" s="572"/>
      <c r="C124" s="572"/>
      <c r="D124" s="574">
        <f t="shared" ref="D124:D139" si="7">CEILING(B124-C124,0.25)</f>
        <v>0</v>
      </c>
      <c r="E124" s="570"/>
      <c r="M124" s="569"/>
    </row>
    <row r="125" spans="1:13">
      <c r="A125" s="570" t="s">
        <v>511</v>
      </c>
      <c r="B125" s="572">
        <v>7.7</v>
      </c>
      <c r="C125" s="572">
        <v>4.5999999999999996</v>
      </c>
      <c r="D125" s="574">
        <f t="shared" si="7"/>
        <v>3.25</v>
      </c>
      <c r="E125" s="570">
        <v>600</v>
      </c>
      <c r="M125" s="569"/>
    </row>
    <row r="126" spans="1:13">
      <c r="A126" s="570" t="s">
        <v>510</v>
      </c>
      <c r="B126" s="572">
        <v>7.7</v>
      </c>
      <c r="C126" s="572">
        <v>4.5449999999999999</v>
      </c>
      <c r="D126" s="574">
        <f t="shared" si="7"/>
        <v>3.25</v>
      </c>
      <c r="E126" s="570">
        <v>600</v>
      </c>
      <c r="M126" s="569"/>
    </row>
    <row r="127" spans="1:13">
      <c r="A127" s="570" t="s">
        <v>509</v>
      </c>
      <c r="B127" s="572">
        <v>7.7</v>
      </c>
      <c r="C127" s="572">
        <v>4.3940000000000001</v>
      </c>
      <c r="D127" s="574">
        <f t="shared" si="7"/>
        <v>3.5</v>
      </c>
      <c r="E127" s="570">
        <v>600</v>
      </c>
      <c r="M127" s="569"/>
    </row>
    <row r="128" spans="1:13">
      <c r="A128" s="570" t="s">
        <v>508</v>
      </c>
      <c r="B128" s="572">
        <v>7.7</v>
      </c>
      <c r="C128" s="572">
        <v>4.2290000000000001</v>
      </c>
      <c r="D128" s="574">
        <f t="shared" si="7"/>
        <v>3.5</v>
      </c>
      <c r="E128" s="570">
        <v>600</v>
      </c>
      <c r="M128" s="569"/>
    </row>
    <row r="129" spans="1:13">
      <c r="A129" s="570" t="s">
        <v>507</v>
      </c>
      <c r="B129" s="572">
        <v>7.5</v>
      </c>
      <c r="C129" s="572">
        <v>4.1040000000000001</v>
      </c>
      <c r="D129" s="574">
        <f t="shared" si="7"/>
        <v>3.5</v>
      </c>
      <c r="E129" s="570">
        <v>600</v>
      </c>
      <c r="M129" s="569"/>
    </row>
    <row r="130" spans="1:13">
      <c r="A130" s="570" t="s">
        <v>506</v>
      </c>
      <c r="B130" s="572">
        <v>7.5</v>
      </c>
      <c r="C130" s="572">
        <v>3.93</v>
      </c>
      <c r="D130" s="574">
        <f t="shared" si="7"/>
        <v>3.75</v>
      </c>
      <c r="E130" s="570">
        <v>600</v>
      </c>
      <c r="M130" s="569"/>
    </row>
    <row r="131" spans="1:13">
      <c r="A131" s="570" t="s">
        <v>505</v>
      </c>
      <c r="B131" s="572">
        <v>7.7</v>
      </c>
      <c r="C131" s="572">
        <v>3.746</v>
      </c>
      <c r="D131" s="574">
        <f t="shared" si="7"/>
        <v>4</v>
      </c>
      <c r="E131" s="570">
        <v>600</v>
      </c>
      <c r="M131" s="569"/>
    </row>
    <row r="132" spans="1:13">
      <c r="A132" s="570" t="s">
        <v>504</v>
      </c>
      <c r="B132" s="572">
        <v>7.7</v>
      </c>
      <c r="C132" s="572">
        <v>3.645</v>
      </c>
      <c r="D132" s="574">
        <f t="shared" si="7"/>
        <v>4.25</v>
      </c>
      <c r="E132" s="570">
        <v>600</v>
      </c>
      <c r="M132" s="569"/>
    </row>
    <row r="133" spans="1:13">
      <c r="A133" s="570" t="s">
        <v>503</v>
      </c>
      <c r="B133" s="572">
        <v>7.5</v>
      </c>
      <c r="C133" s="572">
        <v>3.4830000000000001</v>
      </c>
      <c r="D133" s="574">
        <f t="shared" si="7"/>
        <v>4.25</v>
      </c>
      <c r="E133" s="570">
        <v>600</v>
      </c>
      <c r="M133" s="569"/>
    </row>
    <row r="134" spans="1:13">
      <c r="A134" s="570" t="s">
        <v>502</v>
      </c>
      <c r="B134" s="572">
        <v>7.5</v>
      </c>
      <c r="C134" s="572">
        <v>3.464</v>
      </c>
      <c r="D134" s="574">
        <f t="shared" si="7"/>
        <v>4.25</v>
      </c>
      <c r="E134" s="570">
        <v>600</v>
      </c>
      <c r="M134" s="569"/>
    </row>
    <row r="135" spans="1:13">
      <c r="A135" s="570" t="s">
        <v>501</v>
      </c>
      <c r="B135" s="572">
        <v>7.5</v>
      </c>
      <c r="C135" s="572">
        <v>3.3919999999999999</v>
      </c>
      <c r="D135" s="574">
        <f t="shared" si="7"/>
        <v>4.25</v>
      </c>
      <c r="E135" s="570">
        <v>600</v>
      </c>
      <c r="M135" s="569"/>
    </row>
    <row r="136" spans="1:13">
      <c r="A136" s="570" t="s">
        <v>500</v>
      </c>
      <c r="B136" s="572">
        <v>8</v>
      </c>
      <c r="C136" s="572">
        <v>3.2210000000000001</v>
      </c>
      <c r="D136" s="574">
        <f t="shared" si="7"/>
        <v>5</v>
      </c>
      <c r="E136" s="570">
        <v>600</v>
      </c>
      <c r="M136" s="569"/>
    </row>
    <row r="137" spans="1:13">
      <c r="A137" s="570"/>
      <c r="B137" s="572"/>
      <c r="C137" s="572"/>
      <c r="D137" s="574">
        <f t="shared" si="7"/>
        <v>0</v>
      </c>
      <c r="E137" s="570"/>
      <c r="M137" s="569"/>
    </row>
    <row r="138" spans="1:13">
      <c r="A138" s="570"/>
      <c r="B138" s="572"/>
      <c r="C138" s="572"/>
      <c r="D138" s="574">
        <f t="shared" si="7"/>
        <v>0</v>
      </c>
      <c r="E138" s="570"/>
      <c r="M138" s="569"/>
    </row>
    <row r="139" spans="1:13">
      <c r="A139" s="570"/>
      <c r="B139" s="572"/>
      <c r="C139" s="572"/>
      <c r="D139" s="574">
        <f t="shared" si="7"/>
        <v>0</v>
      </c>
      <c r="E139" s="570"/>
      <c r="M139" s="569"/>
    </row>
    <row r="140" spans="1:13">
      <c r="A140" s="573"/>
      <c r="B140" s="572"/>
      <c r="C140" s="572"/>
      <c r="D140" s="571"/>
      <c r="E140" s="570"/>
      <c r="M140" s="569"/>
    </row>
    <row r="141" spans="1:13">
      <c r="M141" s="569"/>
    </row>
    <row r="142" spans="1:13">
      <c r="M142" s="569"/>
    </row>
    <row r="143" spans="1:13">
      <c r="M143" s="569"/>
    </row>
    <row r="144" spans="1:13">
      <c r="M144" s="569"/>
    </row>
    <row r="145" spans="13:13">
      <c r="M145" s="569"/>
    </row>
    <row r="146" spans="13:13">
      <c r="M146" s="569"/>
    </row>
    <row r="147" spans="13:13">
      <c r="M147" s="569"/>
    </row>
    <row r="148" spans="13:13">
      <c r="M148" s="569"/>
    </row>
    <row r="149" spans="13:13">
      <c r="M149" s="569"/>
    </row>
    <row r="150" spans="13:13">
      <c r="M150" s="569"/>
    </row>
    <row r="151" spans="13:13">
      <c r="M151" s="569"/>
    </row>
    <row r="152" spans="13:13">
      <c r="M152" s="569"/>
    </row>
    <row r="153" spans="13:13">
      <c r="M153" s="569"/>
    </row>
    <row r="154" spans="13:13">
      <c r="M154" s="569"/>
    </row>
    <row r="155" spans="13:13">
      <c r="M155" s="569"/>
    </row>
    <row r="156" spans="13:13">
      <c r="M156" s="569"/>
    </row>
    <row r="157" spans="13:13">
      <c r="M157" s="569"/>
    </row>
    <row r="158" spans="13:13">
      <c r="M158" s="569"/>
    </row>
    <row r="159" spans="13:13">
      <c r="M159" s="569"/>
    </row>
    <row r="160" spans="13:13">
      <c r="M160" s="569"/>
    </row>
    <row r="161" spans="13:13">
      <c r="M161" s="569"/>
    </row>
    <row r="162" spans="13:13">
      <c r="M162" s="569"/>
    </row>
    <row r="163" spans="13:13">
      <c r="M163" s="569"/>
    </row>
    <row r="164" spans="13:13">
      <c r="M164" s="569"/>
    </row>
    <row r="165" spans="13:13">
      <c r="M165" s="569"/>
    </row>
    <row r="166" spans="13:13">
      <c r="M166" s="569"/>
    </row>
    <row r="167" spans="13:13">
      <c r="M167" s="569"/>
    </row>
    <row r="168" spans="13:13">
      <c r="M168" s="569"/>
    </row>
    <row r="169" spans="13:13">
      <c r="M169" s="569"/>
    </row>
    <row r="170" spans="13:13">
      <c r="M170" s="569"/>
    </row>
    <row r="171" spans="13:13">
      <c r="M171" s="569"/>
    </row>
    <row r="172" spans="13:13">
      <c r="M172" s="569"/>
    </row>
    <row r="173" spans="13:13">
      <c r="M173" s="569"/>
    </row>
    <row r="174" spans="13:13">
      <c r="M174" s="569"/>
    </row>
    <row r="175" spans="13:13">
      <c r="M175" s="569"/>
    </row>
    <row r="176" spans="13:13">
      <c r="M176" s="569"/>
    </row>
    <row r="177" spans="13:13">
      <c r="M177" s="569"/>
    </row>
    <row r="178" spans="13:13">
      <c r="M178" s="569"/>
    </row>
    <row r="179" spans="13:13">
      <c r="M179" s="569"/>
    </row>
    <row r="180" spans="13:13">
      <c r="M180" s="569"/>
    </row>
    <row r="181" spans="13:13">
      <c r="M181" s="569"/>
    </row>
    <row r="182" spans="13:13">
      <c r="M182" s="569"/>
    </row>
    <row r="183" spans="13:13">
      <c r="M183" s="569"/>
    </row>
    <row r="184" spans="13:13">
      <c r="M184" s="569"/>
    </row>
    <row r="185" spans="13:13">
      <c r="M185" s="569"/>
    </row>
    <row r="186" spans="13:13">
      <c r="M186" s="569"/>
    </row>
    <row r="187" spans="13:13">
      <c r="M187" s="569"/>
    </row>
    <row r="188" spans="13:13">
      <c r="M188" s="569"/>
    </row>
    <row r="189" spans="13:13">
      <c r="M189" s="569"/>
    </row>
    <row r="190" spans="13:13">
      <c r="M190" s="569"/>
    </row>
    <row r="191" spans="13:13">
      <c r="M191" s="569"/>
    </row>
    <row r="192" spans="13:13">
      <c r="M192" s="569"/>
    </row>
    <row r="193" spans="13:13">
      <c r="M193" s="569"/>
    </row>
    <row r="194" spans="13:13">
      <c r="M194" s="569"/>
    </row>
    <row r="195" spans="13:13">
      <c r="M195" s="569"/>
    </row>
    <row r="196" spans="13:13">
      <c r="M196" s="569"/>
    </row>
  </sheetData>
  <mergeCells count="2">
    <mergeCell ref="C98:D98"/>
    <mergeCell ref="C1:D1"/>
  </mergeCells>
  <pageMargins left="0.75" right="0.75" top="1" bottom="1" header="0.5" footer="0.5"/>
  <pageSetup paperSize="8" scale="73" fitToHeight="0" orientation="portrait" verticalDpi="1200" r:id="rId1"/>
  <headerFooter alignWithMargins="0"/>
  <rowBreaks count="3" manualBreakCount="3">
    <brk id="48" max="11" man="1"/>
    <brk id="97" max="11" man="1"/>
    <brk id="119" max="11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B2544-F68B-D44D-8473-72F71416722E}">
  <dimension ref="A1:BU490"/>
  <sheetViews>
    <sheetView workbookViewId="0">
      <selection activeCell="F56" sqref="F56"/>
    </sheetView>
  </sheetViews>
  <sheetFormatPr baseColWidth="10" defaultColWidth="8.83203125" defaultRowHeight="13"/>
  <cols>
    <col min="1" max="16" width="14" style="306" customWidth="1"/>
    <col min="17" max="29" width="8.83203125" style="306"/>
    <col min="30" max="30" width="10.83203125" style="306" customWidth="1"/>
    <col min="31" max="16384" width="8.83203125" style="306"/>
  </cols>
  <sheetData>
    <row r="1" spans="1:73">
      <c r="A1" s="302"/>
      <c r="B1" s="302"/>
      <c r="C1" s="1189" t="s">
        <v>483</v>
      </c>
      <c r="D1" s="1189"/>
      <c r="E1" s="303"/>
      <c r="F1" s="304"/>
      <c r="G1" s="302"/>
      <c r="H1" s="305" t="s">
        <v>360</v>
      </c>
      <c r="I1" s="302"/>
      <c r="J1" s="1193" t="s">
        <v>484</v>
      </c>
      <c r="K1" s="1194"/>
      <c r="L1" s="302"/>
      <c r="M1" s="302"/>
      <c r="N1" s="302"/>
      <c r="O1" s="302"/>
      <c r="P1" s="302"/>
      <c r="Q1" s="302"/>
      <c r="R1" s="302"/>
      <c r="S1" s="302"/>
      <c r="T1" s="302"/>
      <c r="U1" s="302"/>
      <c r="V1" s="302"/>
      <c r="W1" s="302"/>
      <c r="X1" s="302"/>
      <c r="Y1" s="302"/>
      <c r="Z1" s="302"/>
      <c r="AA1" s="302"/>
      <c r="AB1" s="302"/>
      <c r="AC1" s="302"/>
      <c r="AD1" s="302"/>
      <c r="AE1" s="302"/>
      <c r="AF1" s="302"/>
      <c r="AG1" s="302"/>
      <c r="AH1" s="302"/>
      <c r="AI1" s="302"/>
      <c r="AJ1" s="302"/>
      <c r="AK1" s="302"/>
      <c r="AL1" s="302"/>
      <c r="AM1" s="302"/>
      <c r="AN1" s="302"/>
      <c r="AO1" s="302"/>
      <c r="AP1" s="302"/>
      <c r="AQ1" s="302"/>
      <c r="AR1" s="302"/>
      <c r="AS1" s="302"/>
      <c r="AT1" s="302"/>
      <c r="AU1" s="302"/>
      <c r="AV1" s="302"/>
      <c r="AW1" s="302"/>
      <c r="AX1" s="302"/>
      <c r="AY1" s="302"/>
      <c r="AZ1" s="302"/>
      <c r="BA1" s="302"/>
      <c r="BB1" s="302"/>
      <c r="BC1" s="302"/>
      <c r="BD1" s="302"/>
      <c r="BE1" s="302"/>
      <c r="BF1" s="302"/>
      <c r="BG1" s="302"/>
      <c r="BH1" s="302"/>
      <c r="BI1" s="302"/>
      <c r="BJ1" s="302"/>
      <c r="BK1" s="302"/>
      <c r="BL1" s="302"/>
      <c r="BM1" s="302"/>
      <c r="BN1" s="302"/>
      <c r="BO1" s="302"/>
      <c r="BP1" s="302"/>
      <c r="BQ1" s="302"/>
      <c r="BR1" s="302"/>
      <c r="BS1" s="302"/>
      <c r="BT1" s="302"/>
      <c r="BU1" s="302"/>
    </row>
    <row r="2" spans="1:73">
      <c r="A2" s="302"/>
      <c r="B2" s="302"/>
      <c r="C2" s="307">
        <v>43438</v>
      </c>
      <c r="D2" s="302"/>
      <c r="E2" s="303"/>
      <c r="F2" s="304"/>
      <c r="G2" s="302"/>
      <c r="H2" s="302"/>
      <c r="I2" s="302"/>
      <c r="J2" s="302"/>
      <c r="K2" s="302"/>
      <c r="L2" s="302"/>
      <c r="M2" s="302"/>
      <c r="N2" s="302"/>
      <c r="O2" s="302"/>
      <c r="P2" s="302"/>
      <c r="Q2" s="302"/>
      <c r="R2" s="302"/>
      <c r="S2" s="302"/>
      <c r="T2" s="302"/>
      <c r="U2" s="302"/>
      <c r="V2" s="302"/>
      <c r="W2" s="302"/>
      <c r="X2" s="302"/>
      <c r="Y2" s="302"/>
      <c r="Z2" s="302"/>
      <c r="AA2" s="302"/>
      <c r="AB2" s="302"/>
      <c r="AC2" s="302"/>
      <c r="AD2" s="302"/>
      <c r="AE2" s="302"/>
      <c r="AF2" s="302"/>
      <c r="AG2" s="302"/>
      <c r="AH2" s="302"/>
      <c r="AI2" s="302"/>
      <c r="AJ2" s="302"/>
      <c r="AK2" s="302"/>
      <c r="AL2" s="302"/>
      <c r="AM2" s="302"/>
      <c r="AN2" s="302"/>
      <c r="AO2" s="302"/>
      <c r="AP2" s="302"/>
      <c r="AQ2" s="302"/>
      <c r="AR2" s="302"/>
      <c r="AS2" s="302"/>
      <c r="AT2" s="302"/>
      <c r="AU2" s="302"/>
      <c r="AV2" s="302"/>
      <c r="AW2" s="302"/>
      <c r="AX2" s="302"/>
      <c r="AY2" s="302"/>
      <c r="AZ2" s="302"/>
      <c r="BA2" s="302"/>
      <c r="BB2" s="302"/>
      <c r="BC2" s="302"/>
      <c r="BD2" s="302"/>
      <c r="BE2" s="302"/>
      <c r="BF2" s="302"/>
      <c r="BG2" s="302"/>
      <c r="BH2" s="302"/>
      <c r="BI2" s="302"/>
      <c r="BJ2" s="302"/>
      <c r="BK2" s="302"/>
      <c r="BL2" s="302"/>
      <c r="BM2" s="302"/>
      <c r="BN2" s="302"/>
      <c r="BO2" s="302"/>
      <c r="BP2" s="302"/>
      <c r="BQ2" s="302"/>
      <c r="BR2" s="302"/>
      <c r="BS2" s="302"/>
      <c r="BT2" s="302"/>
      <c r="BU2" s="302"/>
    </row>
    <row r="3" spans="1:73">
      <c r="A3" s="302"/>
      <c r="B3" s="302"/>
      <c r="C3" s="302"/>
      <c r="D3" s="302"/>
      <c r="E3" s="1195" t="s">
        <v>361</v>
      </c>
      <c r="F3" s="1195"/>
      <c r="G3" s="1195"/>
      <c r="H3" s="1195"/>
      <c r="I3" s="1195"/>
      <c r="J3" s="1195"/>
      <c r="K3" s="1195"/>
      <c r="L3" s="302"/>
      <c r="M3" s="302"/>
      <c r="N3" s="302"/>
      <c r="O3" s="302"/>
      <c r="P3" s="302"/>
      <c r="Q3" s="302"/>
      <c r="R3" s="302"/>
      <c r="S3" s="302"/>
      <c r="T3" s="302"/>
      <c r="U3" s="302"/>
      <c r="V3" s="302"/>
      <c r="W3" s="302"/>
      <c r="X3" s="302"/>
      <c r="Y3" s="302"/>
      <c r="Z3" s="302"/>
      <c r="AA3" s="302"/>
      <c r="AB3" s="302"/>
      <c r="AC3" s="302"/>
      <c r="AD3" s="302"/>
      <c r="AE3" s="302"/>
      <c r="AF3" s="302"/>
      <c r="AG3" s="302"/>
      <c r="AH3" s="302"/>
      <c r="AI3" s="302"/>
      <c r="AJ3" s="302"/>
      <c r="AK3" s="302"/>
      <c r="AL3" s="302"/>
      <c r="AM3" s="302"/>
      <c r="AN3" s="302"/>
      <c r="AO3" s="302"/>
      <c r="AP3" s="302"/>
      <c r="AQ3" s="302"/>
      <c r="AR3" s="302"/>
      <c r="AS3" s="302"/>
      <c r="AT3" s="302"/>
      <c r="AU3" s="302"/>
      <c r="AV3" s="302"/>
      <c r="AW3" s="302"/>
      <c r="AX3" s="302"/>
      <c r="AY3" s="302"/>
      <c r="AZ3" s="302"/>
      <c r="BA3" s="302"/>
      <c r="BB3" s="302"/>
      <c r="BC3" s="302"/>
      <c r="BD3" s="302"/>
      <c r="BE3" s="302"/>
      <c r="BF3" s="302"/>
      <c r="BG3" s="302"/>
      <c r="BH3" s="302"/>
      <c r="BI3" s="302"/>
      <c r="BJ3" s="302"/>
      <c r="BK3" s="302"/>
      <c r="BL3" s="302"/>
      <c r="BM3" s="302"/>
      <c r="BN3" s="302"/>
      <c r="BO3" s="302"/>
      <c r="BP3" s="302"/>
      <c r="BQ3" s="302"/>
      <c r="BR3" s="302"/>
      <c r="BS3" s="302"/>
      <c r="BT3" s="302"/>
      <c r="BU3" s="302"/>
    </row>
    <row r="4" spans="1:73">
      <c r="A4" s="302"/>
      <c r="B4" s="305"/>
      <c r="C4" s="305" t="s">
        <v>43</v>
      </c>
      <c r="D4" s="305"/>
      <c r="E4" s="1195"/>
      <c r="F4" s="1195"/>
      <c r="G4" s="1195"/>
      <c r="H4" s="1195"/>
      <c r="I4" s="1195"/>
      <c r="J4" s="1195"/>
      <c r="K4" s="1195"/>
      <c r="L4" s="305"/>
      <c r="M4" s="305"/>
      <c r="N4" s="305"/>
      <c r="O4" s="305"/>
      <c r="P4" s="305"/>
      <c r="Q4" s="305"/>
      <c r="R4" s="305"/>
      <c r="S4" s="305"/>
      <c r="T4" s="305"/>
      <c r="U4" s="305"/>
      <c r="V4" s="305"/>
      <c r="W4" s="305"/>
      <c r="X4" s="305"/>
      <c r="Y4" s="305"/>
      <c r="Z4" s="305"/>
      <c r="AA4" s="305"/>
      <c r="AB4" s="305"/>
      <c r="AC4" s="305"/>
      <c r="AD4" s="305"/>
      <c r="AE4" s="305"/>
      <c r="AF4" s="305" t="s">
        <v>44</v>
      </c>
      <c r="AG4" s="305"/>
      <c r="AH4" s="305"/>
      <c r="AI4" s="305"/>
      <c r="AJ4" s="305"/>
      <c r="AK4" s="305"/>
      <c r="AL4" s="305"/>
      <c r="AM4" s="305"/>
      <c r="AN4" s="305"/>
      <c r="AO4" s="305"/>
      <c r="AP4" s="305"/>
      <c r="AQ4" s="305"/>
      <c r="AR4" s="305"/>
      <c r="AS4" s="305"/>
      <c r="AT4" s="305"/>
      <c r="AU4" s="305"/>
      <c r="AV4" s="305"/>
      <c r="AW4" s="305"/>
      <c r="AX4" s="305"/>
      <c r="AY4" s="305"/>
      <c r="AZ4" s="305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2"/>
      <c r="BP4" s="302"/>
      <c r="BQ4" s="302"/>
      <c r="BR4" s="302"/>
      <c r="BS4" s="302"/>
      <c r="BT4" s="302"/>
      <c r="BU4" s="302"/>
    </row>
    <row r="5" spans="1:73">
      <c r="A5" s="302"/>
      <c r="B5" s="305"/>
      <c r="C5" s="308" t="s">
        <v>45</v>
      </c>
      <c r="D5" s="305"/>
      <c r="E5" s="1196"/>
      <c r="F5" s="1196"/>
      <c r="G5" s="1196"/>
      <c r="H5" s="1196"/>
      <c r="I5" s="1196"/>
      <c r="J5" s="1196"/>
      <c r="K5" s="1196"/>
      <c r="L5" s="305"/>
      <c r="M5" s="305"/>
      <c r="N5" s="305"/>
      <c r="O5" s="305"/>
      <c r="P5" s="305"/>
      <c r="Q5" s="305"/>
      <c r="R5" s="305"/>
      <c r="S5" s="305"/>
      <c r="T5" s="305"/>
      <c r="U5" s="305"/>
      <c r="V5" s="305"/>
      <c r="W5" s="305"/>
      <c r="X5" s="305"/>
      <c r="Y5" s="305"/>
      <c r="Z5" s="305"/>
      <c r="AA5" s="305"/>
      <c r="AB5" s="305"/>
      <c r="AC5" s="305"/>
      <c r="AD5" s="305"/>
      <c r="AE5" s="305"/>
      <c r="AF5" s="305" t="s">
        <v>46</v>
      </c>
      <c r="AG5" s="305"/>
      <c r="AH5" s="305"/>
      <c r="AI5" s="305"/>
      <c r="AJ5" s="305"/>
      <c r="AK5" s="305"/>
      <c r="AL5" s="305"/>
      <c r="AM5" s="305"/>
      <c r="AN5" s="305"/>
      <c r="AO5" s="305"/>
      <c r="AP5" s="305"/>
      <c r="AQ5" s="305"/>
      <c r="AR5" s="305"/>
      <c r="AS5" s="305"/>
      <c r="AT5" s="305"/>
      <c r="AU5" s="305"/>
      <c r="AV5" s="305"/>
      <c r="AW5" s="305"/>
      <c r="AX5" s="305"/>
      <c r="AY5" s="305"/>
      <c r="AZ5" s="305"/>
      <c r="BA5" s="305"/>
      <c r="BB5" s="302"/>
      <c r="BC5" s="302"/>
      <c r="BD5" s="302"/>
      <c r="BE5" s="302"/>
      <c r="BF5" s="302"/>
      <c r="BG5" s="302"/>
      <c r="BH5" s="302"/>
      <c r="BI5" s="302"/>
      <c r="BJ5" s="302"/>
      <c r="BK5" s="302"/>
      <c r="BL5" s="302"/>
      <c r="BM5" s="302"/>
      <c r="BN5" s="302"/>
      <c r="BO5" s="302"/>
      <c r="BP5" s="302"/>
      <c r="BQ5" s="302"/>
      <c r="BR5" s="302"/>
      <c r="BS5" s="302"/>
      <c r="BT5" s="302"/>
      <c r="BU5" s="302"/>
    </row>
    <row r="6" spans="1:73" s="315" customFormat="1">
      <c r="A6" s="304"/>
      <c r="B6" s="309"/>
      <c r="C6" s="310" t="s">
        <v>47</v>
      </c>
      <c r="D6" s="311"/>
      <c r="E6" s="311"/>
      <c r="F6" s="312"/>
      <c r="G6" s="310" t="s">
        <v>48</v>
      </c>
      <c r="H6" s="311"/>
      <c r="I6" s="311"/>
      <c r="J6" s="312"/>
      <c r="K6" s="313"/>
      <c r="L6" s="310"/>
      <c r="M6" s="312"/>
      <c r="N6" s="311"/>
      <c r="O6" s="311"/>
      <c r="P6" s="312"/>
      <c r="Q6" s="1186" t="s">
        <v>49</v>
      </c>
      <c r="R6" s="1187"/>
      <c r="S6" s="1187"/>
      <c r="T6" s="1187"/>
      <c r="U6" s="1187"/>
      <c r="V6" s="1187"/>
      <c r="W6" s="1187"/>
      <c r="X6" s="1187"/>
      <c r="Y6" s="1187"/>
      <c r="Z6" s="1187"/>
      <c r="AA6" s="1187"/>
      <c r="AB6" s="1187"/>
      <c r="AC6" s="1187"/>
      <c r="AD6" s="314"/>
      <c r="AE6" s="313" t="s">
        <v>50</v>
      </c>
      <c r="AF6" s="313" t="s">
        <v>51</v>
      </c>
      <c r="AG6" s="313" t="s">
        <v>52</v>
      </c>
      <c r="AH6" s="1186" t="s">
        <v>53</v>
      </c>
      <c r="AI6" s="1187"/>
      <c r="AJ6" s="1187"/>
      <c r="AK6" s="1187"/>
      <c r="AL6" s="1187"/>
      <c r="AM6" s="1187"/>
      <c r="AN6" s="1187"/>
      <c r="AO6" s="1187"/>
      <c r="AP6" s="1187"/>
      <c r="AQ6" s="1187"/>
      <c r="AR6" s="1187"/>
      <c r="AS6" s="1187"/>
      <c r="AT6" s="1188"/>
      <c r="AU6" s="1186" t="s">
        <v>54</v>
      </c>
      <c r="AV6" s="1187"/>
      <c r="AW6" s="1187"/>
      <c r="AX6" s="1187"/>
      <c r="AY6" s="1187"/>
      <c r="AZ6" s="1187"/>
      <c r="BA6" s="1187"/>
      <c r="BB6" s="1187"/>
      <c r="BC6" s="1187"/>
      <c r="BD6" s="1187"/>
      <c r="BE6" s="1187"/>
      <c r="BF6" s="1187"/>
      <c r="BG6" s="1188"/>
      <c r="BH6" s="1186" t="s">
        <v>55</v>
      </c>
      <c r="BI6" s="1187"/>
      <c r="BJ6" s="1187"/>
      <c r="BK6" s="1187"/>
      <c r="BL6" s="1187"/>
      <c r="BM6" s="1187"/>
      <c r="BN6" s="1187"/>
      <c r="BO6" s="1187"/>
      <c r="BP6" s="1187"/>
      <c r="BQ6" s="1187"/>
      <c r="BR6" s="1187"/>
      <c r="BS6" s="1187"/>
      <c r="BT6" s="1188"/>
      <c r="BU6" s="304"/>
    </row>
    <row r="7" spans="1:73" s="315" customFormat="1" ht="14">
      <c r="A7" s="304"/>
      <c r="B7" s="309"/>
      <c r="C7" s="316" t="s">
        <v>16</v>
      </c>
      <c r="D7" s="317" t="s">
        <v>56</v>
      </c>
      <c r="E7" s="317" t="s">
        <v>57</v>
      </c>
      <c r="F7" s="318" t="s">
        <v>37</v>
      </c>
      <c r="G7" s="316" t="s">
        <v>16</v>
      </c>
      <c r="H7" s="317" t="s">
        <v>56</v>
      </c>
      <c r="I7" s="317" t="s">
        <v>57</v>
      </c>
      <c r="J7" s="318" t="s">
        <v>37</v>
      </c>
      <c r="K7" s="319" t="s">
        <v>58</v>
      </c>
      <c r="L7" s="316" t="s">
        <v>38</v>
      </c>
      <c r="M7" s="318" t="s">
        <v>59</v>
      </c>
      <c r="N7" s="317" t="s">
        <v>2</v>
      </c>
      <c r="O7" s="317" t="s">
        <v>60</v>
      </c>
      <c r="P7" s="318" t="s">
        <v>61</v>
      </c>
      <c r="Q7" s="320">
        <v>150</v>
      </c>
      <c r="R7" s="320">
        <v>225</v>
      </c>
      <c r="S7" s="321">
        <v>300</v>
      </c>
      <c r="T7" s="321">
        <v>375</v>
      </c>
      <c r="U7" s="321">
        <v>450</v>
      </c>
      <c r="V7" s="321">
        <v>525</v>
      </c>
      <c r="W7" s="321">
        <v>600</v>
      </c>
      <c r="X7" s="321">
        <v>675</v>
      </c>
      <c r="Y7" s="321">
        <v>750</v>
      </c>
      <c r="Z7" s="321">
        <v>900</v>
      </c>
      <c r="AA7" s="321">
        <v>1050</v>
      </c>
      <c r="AB7" s="321">
        <v>1200</v>
      </c>
      <c r="AC7" s="314">
        <v>1350</v>
      </c>
      <c r="AD7" s="314" t="s">
        <v>141</v>
      </c>
      <c r="AE7" s="322" t="s">
        <v>62</v>
      </c>
      <c r="AF7" s="322" t="s">
        <v>63</v>
      </c>
      <c r="AG7" s="322" t="s">
        <v>63</v>
      </c>
      <c r="AH7" s="320">
        <v>150</v>
      </c>
      <c r="AI7" s="323">
        <v>225</v>
      </c>
      <c r="AJ7" s="323">
        <v>300</v>
      </c>
      <c r="AK7" s="323">
        <v>375</v>
      </c>
      <c r="AL7" s="323">
        <v>450</v>
      </c>
      <c r="AM7" s="323">
        <v>525</v>
      </c>
      <c r="AN7" s="323">
        <v>600</v>
      </c>
      <c r="AO7" s="323">
        <v>675</v>
      </c>
      <c r="AP7" s="323">
        <v>750</v>
      </c>
      <c r="AQ7" s="323">
        <v>900</v>
      </c>
      <c r="AR7" s="323">
        <v>1050</v>
      </c>
      <c r="AS7" s="323">
        <v>1200</v>
      </c>
      <c r="AT7" s="314">
        <v>1350</v>
      </c>
      <c r="AU7" s="320">
        <v>150</v>
      </c>
      <c r="AV7" s="323">
        <v>225</v>
      </c>
      <c r="AW7" s="323">
        <v>300</v>
      </c>
      <c r="AX7" s="323">
        <v>375</v>
      </c>
      <c r="AY7" s="323">
        <v>450</v>
      </c>
      <c r="AZ7" s="323">
        <v>525</v>
      </c>
      <c r="BA7" s="323">
        <v>600</v>
      </c>
      <c r="BB7" s="323">
        <v>675</v>
      </c>
      <c r="BC7" s="323">
        <v>750</v>
      </c>
      <c r="BD7" s="323">
        <v>900</v>
      </c>
      <c r="BE7" s="323">
        <v>1050</v>
      </c>
      <c r="BF7" s="323">
        <v>1200</v>
      </c>
      <c r="BG7" s="323">
        <v>1350</v>
      </c>
      <c r="BH7" s="320">
        <v>150</v>
      </c>
      <c r="BI7" s="323">
        <v>225</v>
      </c>
      <c r="BJ7" s="323">
        <v>300</v>
      </c>
      <c r="BK7" s="323">
        <v>375</v>
      </c>
      <c r="BL7" s="323">
        <v>450</v>
      </c>
      <c r="BM7" s="323">
        <v>525</v>
      </c>
      <c r="BN7" s="323">
        <v>600</v>
      </c>
      <c r="BO7" s="323">
        <v>675</v>
      </c>
      <c r="BP7" s="323">
        <v>750</v>
      </c>
      <c r="BQ7" s="323">
        <v>900</v>
      </c>
      <c r="BR7" s="323">
        <v>1050</v>
      </c>
      <c r="BS7" s="323">
        <v>1200</v>
      </c>
      <c r="BT7" s="314">
        <v>1350</v>
      </c>
      <c r="BU7" s="304"/>
    </row>
    <row r="8" spans="1:73" s="342" customFormat="1">
      <c r="A8" s="324"/>
      <c r="B8" s="324"/>
      <c r="C8" s="570" t="s">
        <v>581</v>
      </c>
      <c r="D8" s="572">
        <v>12</v>
      </c>
      <c r="E8" s="572">
        <v>9.125</v>
      </c>
      <c r="F8" s="327">
        <f t="shared" ref="F8:F112" si="0">D8-E8</f>
        <v>2.875</v>
      </c>
      <c r="G8" s="570" t="s">
        <v>580</v>
      </c>
      <c r="H8" s="572">
        <v>11.9</v>
      </c>
      <c r="I8" s="572">
        <v>9.0050000000000008</v>
      </c>
      <c r="J8" s="327">
        <f t="shared" ref="J8:J112" si="1">H8-I8</f>
        <v>2.8949999999999996</v>
      </c>
      <c r="K8" s="328">
        <f t="shared" ref="K8:K112" si="2">CEILING((F8+J8)/2,0.25)</f>
        <v>3</v>
      </c>
      <c r="L8" s="570">
        <v>48</v>
      </c>
      <c r="M8" s="570">
        <v>750</v>
      </c>
      <c r="N8" s="330">
        <f t="shared" ref="N8:N112" si="3">SUM(AU8:BG8)</f>
        <v>550</v>
      </c>
      <c r="O8" s="330">
        <v>109</v>
      </c>
      <c r="P8" s="331">
        <f t="shared" ref="P8:P112" si="4">IF((N8-O8)&gt;0,N8-O8,0)</f>
        <v>441</v>
      </c>
      <c r="Q8" s="332" t="str">
        <f t="shared" ref="Q8:Q112" si="5">IF($M8=$Q$7,$L8*$P8,"")</f>
        <v/>
      </c>
      <c r="R8" s="332" t="str">
        <f t="shared" ref="R8:R112" si="6">IF($M8=$R$7,$L8*$P8,"")</f>
        <v/>
      </c>
      <c r="S8" s="333" t="str">
        <f t="shared" ref="S8:S112" si="7">IF($M8=$S$7,$L8*$P8,"")</f>
        <v/>
      </c>
      <c r="T8" s="333" t="str">
        <f t="shared" ref="T8:T112" si="8">IF($M8=$T$7,$L8*$P8,"")</f>
        <v/>
      </c>
      <c r="U8" s="333" t="str">
        <f t="shared" ref="U8:U112" si="9">IF($M8=$U$7,$L8*$P8,"")</f>
        <v/>
      </c>
      <c r="V8" s="333" t="str">
        <f t="shared" ref="V8:V112" si="10">IF($M8=$V$7,$L8*$P8,"")</f>
        <v/>
      </c>
      <c r="W8" s="333" t="str">
        <f t="shared" ref="W8:W112" si="11">IF($M8=$W$7,$L8*$P8,"")</f>
        <v/>
      </c>
      <c r="X8" s="333" t="str">
        <f t="shared" ref="X8:X112" si="12">IF($M8=$X$7,$L8*$P8,"")</f>
        <v/>
      </c>
      <c r="Y8" s="333">
        <f t="shared" ref="Y8:Y112" si="13">IF($M8=$Y$7,$L8*$P8,"")</f>
        <v>21168</v>
      </c>
      <c r="Z8" s="333" t="str">
        <f t="shared" ref="Z8:Z112" si="14">IF($M8=$Z$7,$L8*$P8,"")</f>
        <v/>
      </c>
      <c r="AA8" s="333" t="str">
        <f t="shared" ref="AA8:AA112" si="15">IF($M8=$AA$7,$L8*$P8,"")</f>
        <v/>
      </c>
      <c r="AB8" s="333" t="str">
        <f t="shared" ref="AB8:AB112" si="16">IF($M8=$AB$7,$L8*$P8,"")</f>
        <v/>
      </c>
      <c r="AC8" s="334" t="str">
        <f t="shared" ref="AC8:AC15" si="17">IF($M8=$AC$7,$L8*$P8,"")</f>
        <v/>
      </c>
      <c r="AD8" s="335"/>
      <c r="AE8" s="336">
        <f t="shared" ref="AE8:AE112" si="18">L8*((M8/1000/2*M8/1000/2)*3.14)</f>
        <v>21.195</v>
      </c>
      <c r="AF8" s="337">
        <f t="shared" ref="AF8:AF112" si="19">((M8/1000)+0.225*2)*(K8-0.45)*L8</f>
        <v>146.88</v>
      </c>
      <c r="AG8" s="338">
        <f t="shared" ref="AG8:AG112" si="20">IF(L8&gt;0,(0.675*(2-0.45)*L8),0)</f>
        <v>50.220000000000006</v>
      </c>
      <c r="AH8" s="339">
        <v>394</v>
      </c>
      <c r="AI8" s="340">
        <v>416</v>
      </c>
      <c r="AJ8" s="340">
        <v>0</v>
      </c>
      <c r="AK8" s="340">
        <v>0</v>
      </c>
      <c r="AL8" s="340">
        <v>0</v>
      </c>
      <c r="AM8" s="340">
        <v>0</v>
      </c>
      <c r="AN8" s="340">
        <v>488</v>
      </c>
      <c r="AO8" s="340">
        <v>506</v>
      </c>
      <c r="AP8" s="340">
        <v>550</v>
      </c>
      <c r="AQ8" s="340">
        <v>630</v>
      </c>
      <c r="AR8" s="340">
        <v>680</v>
      </c>
      <c r="AS8" s="340">
        <v>789</v>
      </c>
      <c r="AT8" s="341">
        <v>849</v>
      </c>
      <c r="AU8" s="339">
        <f t="shared" ref="AU8:AU112" si="21">IF($M8=$AH$7,AH8,0)</f>
        <v>0</v>
      </c>
      <c r="AV8" s="340">
        <f t="shared" ref="AV8:AV112" si="22">IF($M8=$AI$7,AI8,0)</f>
        <v>0</v>
      </c>
      <c r="AW8" s="340">
        <f t="shared" ref="AW8:AW112" si="23">IF($M8=$AJ$7,AJ8,0)</f>
        <v>0</v>
      </c>
      <c r="AX8" s="340">
        <f t="shared" ref="AX8:AX112" si="24">IF($M8=$AK$7,AK8,0)</f>
        <v>0</v>
      </c>
      <c r="AY8" s="340">
        <f t="shared" ref="AY8:AY112" si="25">IF($M8=$AL$7,AL8,0)</f>
        <v>0</v>
      </c>
      <c r="AZ8" s="340">
        <f t="shared" ref="AZ8:AZ112" si="26">IF($M8=$AM$7,AM8,0)</f>
        <v>0</v>
      </c>
      <c r="BA8" s="340">
        <f t="shared" ref="BA8:BA112" si="27">IF($M8=$AN$7,AN8,0)</f>
        <v>0</v>
      </c>
      <c r="BB8" s="340">
        <f t="shared" ref="BB8:BB112" si="28">IF($M8=$AO$7,AO8,0)</f>
        <v>0</v>
      </c>
      <c r="BC8" s="340">
        <f t="shared" ref="BC8:BC112" si="29">IF($M8=$AP$7,AP8,0)</f>
        <v>550</v>
      </c>
      <c r="BD8" s="340">
        <f t="shared" ref="BD8:BD112" si="30">IF($M8=$AQ$7,AQ8,0)</f>
        <v>0</v>
      </c>
      <c r="BE8" s="340">
        <f t="shared" ref="BE8:BE112" si="31">IF($M8=$AR$7,AR8,0)</f>
        <v>0</v>
      </c>
      <c r="BF8" s="340">
        <f t="shared" ref="BF8:BF112" si="32">IF($M8=$AS$7,AS8,0)</f>
        <v>0</v>
      </c>
      <c r="BG8" s="340">
        <f t="shared" ref="BG8:BG112" si="33">IF($M8=$AT$7,AT8,0)</f>
        <v>0</v>
      </c>
      <c r="BH8" s="339" t="str">
        <f t="shared" ref="BH8:BH112" si="34">IF($M8=$Q$7,$L8,"")</f>
        <v/>
      </c>
      <c r="BI8" s="340" t="str">
        <f t="shared" ref="BI8:BI112" si="35">IF($M8=$R$7,$L8,"")</f>
        <v/>
      </c>
      <c r="BJ8" s="340" t="str">
        <f t="shared" ref="BJ8:BJ112" si="36">IF($M8=$S$7,$L8,"")</f>
        <v/>
      </c>
      <c r="BK8" s="340" t="str">
        <f t="shared" ref="BK8:BK112" si="37">IF($M8=$T$7,$L8,"")</f>
        <v/>
      </c>
      <c r="BL8" s="340" t="str">
        <f t="shared" ref="BL8:BL112" si="38">IF($M8=$U$7,$L8,"")</f>
        <v/>
      </c>
      <c r="BM8" s="340" t="str">
        <f t="shared" ref="BM8:BM112" si="39">IF($M8=$V$7,$L8,"")</f>
        <v/>
      </c>
      <c r="BN8" s="340" t="str">
        <f t="shared" ref="BN8:BN112" si="40">IF($M8=$W$7,$L8,"")</f>
        <v/>
      </c>
      <c r="BO8" s="340" t="str">
        <f t="shared" ref="BO8:BO112" si="41">IF($M8=$X$7,$L8,"")</f>
        <v/>
      </c>
      <c r="BP8" s="340">
        <f t="shared" ref="BP8:BP112" si="42">IF($M8=$Y$7,$L8,"")</f>
        <v>48</v>
      </c>
      <c r="BQ8" s="340" t="str">
        <f t="shared" ref="BQ8:BQ112" si="43">IF($M8=$Z$7,$L8,"")</f>
        <v/>
      </c>
      <c r="BR8" s="340" t="str">
        <f t="shared" ref="BR8:BR112" si="44">IF($M8=$AA$7,$L8,"")</f>
        <v/>
      </c>
      <c r="BS8" s="340" t="str">
        <f t="shared" ref="BS8:BS112" si="45">IF($M8=$AB$7,$L8,"")</f>
        <v/>
      </c>
      <c r="BT8" s="341" t="str">
        <f t="shared" ref="BT8:BT112" si="46">IF($M8=$AC$7,$L8,"")</f>
        <v/>
      </c>
      <c r="BU8" s="324"/>
    </row>
    <row r="9" spans="1:73" s="342" customFormat="1">
      <c r="A9" s="324"/>
      <c r="B9" s="324"/>
      <c r="C9" s="570" t="s">
        <v>580</v>
      </c>
      <c r="D9" s="572">
        <v>11.9</v>
      </c>
      <c r="E9" s="572">
        <v>9.0050000000000008</v>
      </c>
      <c r="F9" s="327">
        <f t="shared" si="0"/>
        <v>2.8949999999999996</v>
      </c>
      <c r="G9" s="570" t="s">
        <v>579</v>
      </c>
      <c r="H9" s="572">
        <v>11.4</v>
      </c>
      <c r="I9" s="572">
        <v>8.9420000000000002</v>
      </c>
      <c r="J9" s="327">
        <f t="shared" si="1"/>
        <v>2.4580000000000002</v>
      </c>
      <c r="K9" s="343">
        <f t="shared" si="2"/>
        <v>2.75</v>
      </c>
      <c r="L9" s="570">
        <v>25</v>
      </c>
      <c r="M9" s="570">
        <v>750</v>
      </c>
      <c r="N9" s="345">
        <f t="shared" si="3"/>
        <v>516</v>
      </c>
      <c r="O9" s="345">
        <v>109</v>
      </c>
      <c r="P9" s="346">
        <f t="shared" si="4"/>
        <v>407</v>
      </c>
      <c r="Q9" s="332" t="str">
        <f t="shared" si="5"/>
        <v/>
      </c>
      <c r="R9" s="332" t="str">
        <f t="shared" si="6"/>
        <v/>
      </c>
      <c r="S9" s="333" t="str">
        <f t="shared" si="7"/>
        <v/>
      </c>
      <c r="T9" s="333" t="str">
        <f t="shared" si="8"/>
        <v/>
      </c>
      <c r="U9" s="333" t="str">
        <f t="shared" si="9"/>
        <v/>
      </c>
      <c r="V9" s="333" t="str">
        <f t="shared" si="10"/>
        <v/>
      </c>
      <c r="W9" s="333" t="str">
        <f t="shared" si="11"/>
        <v/>
      </c>
      <c r="X9" s="333" t="str">
        <f t="shared" si="12"/>
        <v/>
      </c>
      <c r="Y9" s="333">
        <f t="shared" si="13"/>
        <v>10175</v>
      </c>
      <c r="Z9" s="333" t="str">
        <f t="shared" si="14"/>
        <v/>
      </c>
      <c r="AA9" s="333" t="str">
        <f t="shared" si="15"/>
        <v/>
      </c>
      <c r="AB9" s="333" t="str">
        <f t="shared" si="16"/>
        <v/>
      </c>
      <c r="AC9" s="334" t="str">
        <f t="shared" si="17"/>
        <v/>
      </c>
      <c r="AD9" s="335"/>
      <c r="AE9" s="336">
        <f t="shared" si="18"/>
        <v>11.0390625</v>
      </c>
      <c r="AF9" s="337">
        <f t="shared" si="19"/>
        <v>69</v>
      </c>
      <c r="AG9" s="338">
        <f t="shared" si="20"/>
        <v>26.156250000000004</v>
      </c>
      <c r="AH9" s="339">
        <v>364</v>
      </c>
      <c r="AI9" s="340">
        <v>386</v>
      </c>
      <c r="AJ9" s="340">
        <v>0</v>
      </c>
      <c r="AK9" s="340">
        <v>0</v>
      </c>
      <c r="AL9" s="340">
        <v>0</v>
      </c>
      <c r="AM9" s="340">
        <v>0</v>
      </c>
      <c r="AN9" s="340">
        <v>454</v>
      </c>
      <c r="AO9" s="340">
        <v>472</v>
      </c>
      <c r="AP9" s="340">
        <v>516</v>
      </c>
      <c r="AQ9" s="340">
        <v>596</v>
      </c>
      <c r="AR9" s="340">
        <v>646</v>
      </c>
      <c r="AS9" s="340">
        <v>755</v>
      </c>
      <c r="AT9" s="341">
        <v>815</v>
      </c>
      <c r="AU9" s="339">
        <f t="shared" si="21"/>
        <v>0</v>
      </c>
      <c r="AV9" s="340">
        <f t="shared" si="22"/>
        <v>0</v>
      </c>
      <c r="AW9" s="340">
        <f t="shared" si="23"/>
        <v>0</v>
      </c>
      <c r="AX9" s="340">
        <f t="shared" si="24"/>
        <v>0</v>
      </c>
      <c r="AY9" s="340">
        <f t="shared" si="25"/>
        <v>0</v>
      </c>
      <c r="AZ9" s="340">
        <f t="shared" si="26"/>
        <v>0</v>
      </c>
      <c r="BA9" s="340">
        <f t="shared" si="27"/>
        <v>0</v>
      </c>
      <c r="BB9" s="340">
        <f t="shared" si="28"/>
        <v>0</v>
      </c>
      <c r="BC9" s="340">
        <f t="shared" si="29"/>
        <v>516</v>
      </c>
      <c r="BD9" s="340">
        <f t="shared" si="30"/>
        <v>0</v>
      </c>
      <c r="BE9" s="340">
        <f t="shared" si="31"/>
        <v>0</v>
      </c>
      <c r="BF9" s="340">
        <f t="shared" si="32"/>
        <v>0</v>
      </c>
      <c r="BG9" s="340">
        <f t="shared" si="33"/>
        <v>0</v>
      </c>
      <c r="BH9" s="339" t="str">
        <f t="shared" si="34"/>
        <v/>
      </c>
      <c r="BI9" s="340" t="str">
        <f t="shared" si="35"/>
        <v/>
      </c>
      <c r="BJ9" s="340" t="str">
        <f t="shared" si="36"/>
        <v/>
      </c>
      <c r="BK9" s="340" t="str">
        <f t="shared" si="37"/>
        <v/>
      </c>
      <c r="BL9" s="340" t="str">
        <f t="shared" si="38"/>
        <v/>
      </c>
      <c r="BM9" s="340" t="str">
        <f t="shared" si="39"/>
        <v/>
      </c>
      <c r="BN9" s="340" t="str">
        <f t="shared" si="40"/>
        <v/>
      </c>
      <c r="BO9" s="340" t="str">
        <f t="shared" si="41"/>
        <v/>
      </c>
      <c r="BP9" s="340">
        <f t="shared" si="42"/>
        <v>25</v>
      </c>
      <c r="BQ9" s="340" t="str">
        <f t="shared" si="43"/>
        <v/>
      </c>
      <c r="BR9" s="340" t="str">
        <f t="shared" si="44"/>
        <v/>
      </c>
      <c r="BS9" s="340" t="str">
        <f t="shared" si="45"/>
        <v/>
      </c>
      <c r="BT9" s="341" t="str">
        <f t="shared" si="46"/>
        <v/>
      </c>
      <c r="BU9" s="324"/>
    </row>
    <row r="10" spans="1:73" s="342" customFormat="1">
      <c r="A10" s="324"/>
      <c r="B10" s="324"/>
      <c r="C10" s="570" t="s">
        <v>579</v>
      </c>
      <c r="D10" s="572">
        <v>11.4</v>
      </c>
      <c r="E10" s="572">
        <v>8.9420000000000002</v>
      </c>
      <c r="F10" s="327">
        <f t="shared" si="0"/>
        <v>2.4580000000000002</v>
      </c>
      <c r="G10" s="570" t="s">
        <v>578</v>
      </c>
      <c r="H10" s="572">
        <v>11.3</v>
      </c>
      <c r="I10" s="572">
        <v>8.9079999999999995</v>
      </c>
      <c r="J10" s="327">
        <f t="shared" si="1"/>
        <v>2.3920000000000012</v>
      </c>
      <c r="K10" s="343">
        <f t="shared" si="2"/>
        <v>2.5</v>
      </c>
      <c r="L10" s="570">
        <v>14</v>
      </c>
      <c r="M10" s="570">
        <v>750</v>
      </c>
      <c r="N10" s="345">
        <f t="shared" si="3"/>
        <v>499</v>
      </c>
      <c r="O10" s="345">
        <v>109</v>
      </c>
      <c r="P10" s="346">
        <f t="shared" si="4"/>
        <v>390</v>
      </c>
      <c r="Q10" s="332" t="str">
        <f t="shared" si="5"/>
        <v/>
      </c>
      <c r="R10" s="332" t="str">
        <f t="shared" si="6"/>
        <v/>
      </c>
      <c r="S10" s="333" t="str">
        <f t="shared" si="7"/>
        <v/>
      </c>
      <c r="T10" s="333" t="str">
        <f t="shared" si="8"/>
        <v/>
      </c>
      <c r="U10" s="333" t="str">
        <f t="shared" si="9"/>
        <v/>
      </c>
      <c r="V10" s="333" t="str">
        <f t="shared" si="10"/>
        <v/>
      </c>
      <c r="W10" s="333" t="str">
        <f t="shared" si="11"/>
        <v/>
      </c>
      <c r="X10" s="333" t="str">
        <f t="shared" si="12"/>
        <v/>
      </c>
      <c r="Y10" s="333">
        <f t="shared" si="13"/>
        <v>5460</v>
      </c>
      <c r="Z10" s="333" t="str">
        <f t="shared" si="14"/>
        <v/>
      </c>
      <c r="AA10" s="333" t="str">
        <f t="shared" si="15"/>
        <v/>
      </c>
      <c r="AB10" s="333" t="str">
        <f t="shared" si="16"/>
        <v/>
      </c>
      <c r="AC10" s="334" t="str">
        <f t="shared" si="17"/>
        <v/>
      </c>
      <c r="AD10" s="335"/>
      <c r="AE10" s="336">
        <f t="shared" si="18"/>
        <v>6.1818750000000007</v>
      </c>
      <c r="AF10" s="337">
        <f t="shared" si="19"/>
        <v>34.439999999999991</v>
      </c>
      <c r="AG10" s="338">
        <f t="shared" si="20"/>
        <v>14.647500000000001</v>
      </c>
      <c r="AH10" s="339">
        <v>292</v>
      </c>
      <c r="AI10" s="340">
        <v>371</v>
      </c>
      <c r="AJ10" s="340">
        <v>0</v>
      </c>
      <c r="AK10" s="340">
        <v>0</v>
      </c>
      <c r="AL10" s="340">
        <v>425</v>
      </c>
      <c r="AM10" s="340">
        <v>430</v>
      </c>
      <c r="AN10" s="340">
        <v>437</v>
      </c>
      <c r="AO10" s="340">
        <v>455</v>
      </c>
      <c r="AP10" s="340">
        <v>499</v>
      </c>
      <c r="AQ10" s="340">
        <v>579</v>
      </c>
      <c r="AR10" s="340">
        <v>629</v>
      </c>
      <c r="AS10" s="340">
        <v>738</v>
      </c>
      <c r="AT10" s="341">
        <v>798</v>
      </c>
      <c r="AU10" s="339">
        <f t="shared" si="21"/>
        <v>0</v>
      </c>
      <c r="AV10" s="340">
        <f t="shared" si="22"/>
        <v>0</v>
      </c>
      <c r="AW10" s="340">
        <f t="shared" si="23"/>
        <v>0</v>
      </c>
      <c r="AX10" s="340">
        <f t="shared" si="24"/>
        <v>0</v>
      </c>
      <c r="AY10" s="340">
        <f t="shared" si="25"/>
        <v>0</v>
      </c>
      <c r="AZ10" s="340">
        <f t="shared" si="26"/>
        <v>0</v>
      </c>
      <c r="BA10" s="340">
        <f t="shared" si="27"/>
        <v>0</v>
      </c>
      <c r="BB10" s="340">
        <f t="shared" si="28"/>
        <v>0</v>
      </c>
      <c r="BC10" s="340">
        <f t="shared" si="29"/>
        <v>499</v>
      </c>
      <c r="BD10" s="340">
        <f t="shared" si="30"/>
        <v>0</v>
      </c>
      <c r="BE10" s="340">
        <f t="shared" si="31"/>
        <v>0</v>
      </c>
      <c r="BF10" s="340">
        <f t="shared" si="32"/>
        <v>0</v>
      </c>
      <c r="BG10" s="340">
        <f t="shared" si="33"/>
        <v>0</v>
      </c>
      <c r="BH10" s="339" t="str">
        <f t="shared" si="34"/>
        <v/>
      </c>
      <c r="BI10" s="340" t="str">
        <f t="shared" si="35"/>
        <v/>
      </c>
      <c r="BJ10" s="340" t="str">
        <f t="shared" si="36"/>
        <v/>
      </c>
      <c r="BK10" s="340" t="str">
        <f t="shared" si="37"/>
        <v/>
      </c>
      <c r="BL10" s="340" t="str">
        <f t="shared" si="38"/>
        <v/>
      </c>
      <c r="BM10" s="340" t="str">
        <f t="shared" si="39"/>
        <v/>
      </c>
      <c r="BN10" s="340" t="str">
        <f t="shared" si="40"/>
        <v/>
      </c>
      <c r="BO10" s="340" t="str">
        <f t="shared" si="41"/>
        <v/>
      </c>
      <c r="BP10" s="340">
        <f t="shared" si="42"/>
        <v>14</v>
      </c>
      <c r="BQ10" s="340" t="str">
        <f t="shared" si="43"/>
        <v/>
      </c>
      <c r="BR10" s="340" t="str">
        <f t="shared" si="44"/>
        <v/>
      </c>
      <c r="BS10" s="340" t="str">
        <f t="shared" si="45"/>
        <v/>
      </c>
      <c r="BT10" s="341" t="str">
        <f t="shared" si="46"/>
        <v/>
      </c>
      <c r="BU10" s="324"/>
    </row>
    <row r="11" spans="1:73" s="342" customFormat="1">
      <c r="A11" s="324"/>
      <c r="B11" s="324"/>
      <c r="C11" s="570" t="s">
        <v>578</v>
      </c>
      <c r="D11" s="572">
        <v>11.3</v>
      </c>
      <c r="E11" s="572">
        <v>8.9079999999999995</v>
      </c>
      <c r="F11" s="327">
        <f t="shared" si="0"/>
        <v>2.3920000000000012</v>
      </c>
      <c r="G11" s="570" t="s">
        <v>577</v>
      </c>
      <c r="H11" s="572">
        <v>11.1</v>
      </c>
      <c r="I11" s="572">
        <v>8.8770000000000007</v>
      </c>
      <c r="J11" s="327">
        <f t="shared" si="1"/>
        <v>2.222999999999999</v>
      </c>
      <c r="K11" s="343">
        <f t="shared" si="2"/>
        <v>2.5</v>
      </c>
      <c r="L11" s="570">
        <v>12</v>
      </c>
      <c r="M11" s="570">
        <v>750</v>
      </c>
      <c r="N11" s="345">
        <f t="shared" si="3"/>
        <v>448</v>
      </c>
      <c r="O11" s="345">
        <v>109</v>
      </c>
      <c r="P11" s="346">
        <f t="shared" si="4"/>
        <v>339</v>
      </c>
      <c r="Q11" s="332" t="str">
        <f t="shared" si="5"/>
        <v/>
      </c>
      <c r="R11" s="332" t="str">
        <f t="shared" si="6"/>
        <v/>
      </c>
      <c r="S11" s="333" t="str">
        <f t="shared" si="7"/>
        <v/>
      </c>
      <c r="T11" s="333" t="str">
        <f t="shared" si="8"/>
        <v/>
      </c>
      <c r="U11" s="333" t="str">
        <f t="shared" si="9"/>
        <v/>
      </c>
      <c r="V11" s="333" t="str">
        <f t="shared" si="10"/>
        <v/>
      </c>
      <c r="W11" s="333" t="str">
        <f t="shared" si="11"/>
        <v/>
      </c>
      <c r="X11" s="333" t="str">
        <f t="shared" si="12"/>
        <v/>
      </c>
      <c r="Y11" s="333">
        <f t="shared" si="13"/>
        <v>4068</v>
      </c>
      <c r="Z11" s="333" t="str">
        <f t="shared" si="14"/>
        <v/>
      </c>
      <c r="AA11" s="333" t="str">
        <f t="shared" si="15"/>
        <v/>
      </c>
      <c r="AB11" s="333" t="str">
        <f t="shared" si="16"/>
        <v/>
      </c>
      <c r="AC11" s="334" t="str">
        <f t="shared" si="17"/>
        <v/>
      </c>
      <c r="AD11" s="335"/>
      <c r="AE11" s="336">
        <f t="shared" si="18"/>
        <v>5.2987500000000001</v>
      </c>
      <c r="AF11" s="337">
        <f t="shared" si="19"/>
        <v>29.519999999999996</v>
      </c>
      <c r="AG11" s="338">
        <f t="shared" si="20"/>
        <v>12.555000000000001</v>
      </c>
      <c r="AH11" s="339">
        <v>257</v>
      </c>
      <c r="AI11" s="340">
        <v>326</v>
      </c>
      <c r="AJ11" s="340">
        <v>351</v>
      </c>
      <c r="AK11" s="340">
        <v>383</v>
      </c>
      <c r="AL11" s="340">
        <v>388</v>
      </c>
      <c r="AM11" s="340">
        <v>377</v>
      </c>
      <c r="AN11" s="340">
        <v>386</v>
      </c>
      <c r="AO11" s="340">
        <v>404</v>
      </c>
      <c r="AP11" s="340">
        <v>448</v>
      </c>
      <c r="AQ11" s="340">
        <v>528</v>
      </c>
      <c r="AR11" s="340">
        <v>578</v>
      </c>
      <c r="AS11" s="340">
        <v>677</v>
      </c>
      <c r="AT11" s="341">
        <v>737</v>
      </c>
      <c r="AU11" s="339">
        <f t="shared" si="21"/>
        <v>0</v>
      </c>
      <c r="AV11" s="340">
        <f t="shared" si="22"/>
        <v>0</v>
      </c>
      <c r="AW11" s="340">
        <f t="shared" si="23"/>
        <v>0</v>
      </c>
      <c r="AX11" s="340">
        <f t="shared" si="24"/>
        <v>0</v>
      </c>
      <c r="AY11" s="340">
        <f t="shared" si="25"/>
        <v>0</v>
      </c>
      <c r="AZ11" s="340">
        <f t="shared" si="26"/>
        <v>0</v>
      </c>
      <c r="BA11" s="340">
        <f t="shared" si="27"/>
        <v>0</v>
      </c>
      <c r="BB11" s="340">
        <f t="shared" si="28"/>
        <v>0</v>
      </c>
      <c r="BC11" s="340">
        <f t="shared" si="29"/>
        <v>448</v>
      </c>
      <c r="BD11" s="340">
        <f t="shared" si="30"/>
        <v>0</v>
      </c>
      <c r="BE11" s="340">
        <f t="shared" si="31"/>
        <v>0</v>
      </c>
      <c r="BF11" s="340">
        <f t="shared" si="32"/>
        <v>0</v>
      </c>
      <c r="BG11" s="340">
        <f t="shared" si="33"/>
        <v>0</v>
      </c>
      <c r="BH11" s="339" t="str">
        <f t="shared" si="34"/>
        <v/>
      </c>
      <c r="BI11" s="340" t="str">
        <f t="shared" si="35"/>
        <v/>
      </c>
      <c r="BJ11" s="340" t="str">
        <f t="shared" si="36"/>
        <v/>
      </c>
      <c r="BK11" s="340" t="str">
        <f t="shared" si="37"/>
        <v/>
      </c>
      <c r="BL11" s="340" t="str">
        <f t="shared" si="38"/>
        <v/>
      </c>
      <c r="BM11" s="340" t="str">
        <f t="shared" si="39"/>
        <v/>
      </c>
      <c r="BN11" s="340" t="str">
        <f t="shared" si="40"/>
        <v/>
      </c>
      <c r="BO11" s="340" t="str">
        <f t="shared" si="41"/>
        <v/>
      </c>
      <c r="BP11" s="340">
        <f t="shared" si="42"/>
        <v>12</v>
      </c>
      <c r="BQ11" s="340" t="str">
        <f t="shared" si="43"/>
        <v/>
      </c>
      <c r="BR11" s="340" t="str">
        <f t="shared" si="44"/>
        <v/>
      </c>
      <c r="BS11" s="340" t="str">
        <f t="shared" si="45"/>
        <v/>
      </c>
      <c r="BT11" s="341" t="str">
        <f t="shared" si="46"/>
        <v/>
      </c>
      <c r="BU11" s="324"/>
    </row>
    <row r="12" spans="1:73" s="342" customFormat="1">
      <c r="A12" s="324"/>
      <c r="B12" s="324"/>
      <c r="C12" s="570" t="s">
        <v>577</v>
      </c>
      <c r="D12" s="572">
        <v>11.1</v>
      </c>
      <c r="E12" s="572">
        <v>8.8770000000000007</v>
      </c>
      <c r="F12" s="327">
        <f t="shared" si="0"/>
        <v>2.222999999999999</v>
      </c>
      <c r="G12" s="570" t="s">
        <v>569</v>
      </c>
      <c r="H12" s="572">
        <v>11</v>
      </c>
      <c r="I12" s="572">
        <v>8.8490000000000002</v>
      </c>
      <c r="J12" s="327">
        <f t="shared" si="1"/>
        <v>2.1509999999999998</v>
      </c>
      <c r="K12" s="343">
        <f t="shared" si="2"/>
        <v>2.25</v>
      </c>
      <c r="L12" s="570">
        <v>11</v>
      </c>
      <c r="M12" s="570">
        <v>750</v>
      </c>
      <c r="N12" s="345">
        <f t="shared" si="3"/>
        <v>399</v>
      </c>
      <c r="O12" s="345">
        <v>109</v>
      </c>
      <c r="P12" s="346">
        <f t="shared" si="4"/>
        <v>290</v>
      </c>
      <c r="Q12" s="332" t="str">
        <f t="shared" si="5"/>
        <v/>
      </c>
      <c r="R12" s="332" t="str">
        <f t="shared" si="6"/>
        <v/>
      </c>
      <c r="S12" s="333" t="str">
        <f t="shared" si="7"/>
        <v/>
      </c>
      <c r="T12" s="333" t="str">
        <f t="shared" si="8"/>
        <v/>
      </c>
      <c r="U12" s="333" t="str">
        <f t="shared" si="9"/>
        <v/>
      </c>
      <c r="V12" s="333" t="str">
        <f t="shared" si="10"/>
        <v/>
      </c>
      <c r="W12" s="333" t="str">
        <f t="shared" si="11"/>
        <v/>
      </c>
      <c r="X12" s="333" t="str">
        <f t="shared" si="12"/>
        <v/>
      </c>
      <c r="Y12" s="333">
        <f t="shared" si="13"/>
        <v>3190</v>
      </c>
      <c r="Z12" s="333" t="str">
        <f t="shared" si="14"/>
        <v/>
      </c>
      <c r="AA12" s="333" t="str">
        <f t="shared" si="15"/>
        <v/>
      </c>
      <c r="AB12" s="333" t="str">
        <f t="shared" si="16"/>
        <v/>
      </c>
      <c r="AC12" s="334" t="str">
        <f t="shared" si="17"/>
        <v/>
      </c>
      <c r="AD12" s="335"/>
      <c r="AE12" s="336">
        <f t="shared" si="18"/>
        <v>4.8571875000000002</v>
      </c>
      <c r="AF12" s="337">
        <f t="shared" si="19"/>
        <v>23.76</v>
      </c>
      <c r="AG12" s="338">
        <f t="shared" si="20"/>
        <v>11.508750000000001</v>
      </c>
      <c r="AH12" s="339">
        <v>234</v>
      </c>
      <c r="AI12" s="340">
        <v>270</v>
      </c>
      <c r="AJ12" s="340">
        <v>291</v>
      </c>
      <c r="AK12" s="340">
        <v>316</v>
      </c>
      <c r="AL12" s="340">
        <v>321</v>
      </c>
      <c r="AM12" s="340">
        <v>305</v>
      </c>
      <c r="AN12" s="340">
        <v>335</v>
      </c>
      <c r="AO12" s="340">
        <v>353</v>
      </c>
      <c r="AP12" s="340">
        <v>399</v>
      </c>
      <c r="AQ12" s="340">
        <v>479</v>
      </c>
      <c r="AR12" s="340">
        <v>529</v>
      </c>
      <c r="AS12" s="340">
        <v>626</v>
      </c>
      <c r="AT12" s="341">
        <v>686</v>
      </c>
      <c r="AU12" s="339">
        <f t="shared" si="21"/>
        <v>0</v>
      </c>
      <c r="AV12" s="340">
        <f t="shared" si="22"/>
        <v>0</v>
      </c>
      <c r="AW12" s="340">
        <f t="shared" si="23"/>
        <v>0</v>
      </c>
      <c r="AX12" s="340">
        <f t="shared" si="24"/>
        <v>0</v>
      </c>
      <c r="AY12" s="340">
        <f t="shared" si="25"/>
        <v>0</v>
      </c>
      <c r="AZ12" s="340">
        <f t="shared" si="26"/>
        <v>0</v>
      </c>
      <c r="BA12" s="340">
        <f t="shared" si="27"/>
        <v>0</v>
      </c>
      <c r="BB12" s="340">
        <f t="shared" si="28"/>
        <v>0</v>
      </c>
      <c r="BC12" s="340">
        <f t="shared" si="29"/>
        <v>399</v>
      </c>
      <c r="BD12" s="340">
        <f t="shared" si="30"/>
        <v>0</v>
      </c>
      <c r="BE12" s="340">
        <f t="shared" si="31"/>
        <v>0</v>
      </c>
      <c r="BF12" s="340">
        <f t="shared" si="32"/>
        <v>0</v>
      </c>
      <c r="BG12" s="340">
        <f t="shared" si="33"/>
        <v>0</v>
      </c>
      <c r="BH12" s="339" t="str">
        <f t="shared" si="34"/>
        <v/>
      </c>
      <c r="BI12" s="340" t="str">
        <f t="shared" si="35"/>
        <v/>
      </c>
      <c r="BJ12" s="340" t="str">
        <f t="shared" si="36"/>
        <v/>
      </c>
      <c r="BK12" s="340" t="str">
        <f t="shared" si="37"/>
        <v/>
      </c>
      <c r="BL12" s="340" t="str">
        <f t="shared" si="38"/>
        <v/>
      </c>
      <c r="BM12" s="340" t="str">
        <f t="shared" si="39"/>
        <v/>
      </c>
      <c r="BN12" s="340" t="str">
        <f t="shared" si="40"/>
        <v/>
      </c>
      <c r="BO12" s="340" t="str">
        <f t="shared" si="41"/>
        <v/>
      </c>
      <c r="BP12" s="340">
        <f t="shared" si="42"/>
        <v>11</v>
      </c>
      <c r="BQ12" s="340" t="str">
        <f t="shared" si="43"/>
        <v/>
      </c>
      <c r="BR12" s="340" t="str">
        <f t="shared" si="44"/>
        <v/>
      </c>
      <c r="BS12" s="340" t="str">
        <f t="shared" si="45"/>
        <v/>
      </c>
      <c r="BT12" s="341" t="str">
        <f t="shared" si="46"/>
        <v/>
      </c>
      <c r="BU12" s="324"/>
    </row>
    <row r="13" spans="1:73" s="342" customFormat="1">
      <c r="A13" s="324"/>
      <c r="B13" s="324"/>
      <c r="C13" s="570" t="s">
        <v>569</v>
      </c>
      <c r="D13" s="572">
        <v>11</v>
      </c>
      <c r="E13" s="572">
        <v>8.8490000000000002</v>
      </c>
      <c r="F13" s="327">
        <f t="shared" si="0"/>
        <v>2.1509999999999998</v>
      </c>
      <c r="G13" s="570" t="s">
        <v>576</v>
      </c>
      <c r="H13" s="572">
        <v>10.8</v>
      </c>
      <c r="I13" s="572">
        <v>8.7789999999999999</v>
      </c>
      <c r="J13" s="327">
        <f t="shared" si="1"/>
        <v>2.0210000000000008</v>
      </c>
      <c r="K13" s="343">
        <f t="shared" si="2"/>
        <v>2.25</v>
      </c>
      <c r="L13" s="570">
        <v>28</v>
      </c>
      <c r="M13" s="570">
        <v>750</v>
      </c>
      <c r="N13" s="345">
        <f t="shared" si="3"/>
        <v>338</v>
      </c>
      <c r="O13" s="345">
        <v>109</v>
      </c>
      <c r="P13" s="346">
        <f t="shared" si="4"/>
        <v>229</v>
      </c>
      <c r="Q13" s="332" t="str">
        <f t="shared" si="5"/>
        <v/>
      </c>
      <c r="R13" s="332" t="str">
        <f t="shared" si="6"/>
        <v/>
      </c>
      <c r="S13" s="333" t="str">
        <f t="shared" si="7"/>
        <v/>
      </c>
      <c r="T13" s="333" t="str">
        <f t="shared" si="8"/>
        <v/>
      </c>
      <c r="U13" s="333" t="str">
        <f t="shared" si="9"/>
        <v/>
      </c>
      <c r="V13" s="333" t="str">
        <f t="shared" si="10"/>
        <v/>
      </c>
      <c r="W13" s="333" t="str">
        <f t="shared" si="11"/>
        <v/>
      </c>
      <c r="X13" s="333" t="str">
        <f t="shared" si="12"/>
        <v/>
      </c>
      <c r="Y13" s="333">
        <f t="shared" si="13"/>
        <v>6412</v>
      </c>
      <c r="Z13" s="333" t="str">
        <f t="shared" si="14"/>
        <v/>
      </c>
      <c r="AA13" s="333" t="str">
        <f t="shared" si="15"/>
        <v/>
      </c>
      <c r="AB13" s="333" t="str">
        <f t="shared" si="16"/>
        <v/>
      </c>
      <c r="AC13" s="334" t="str">
        <f t="shared" si="17"/>
        <v/>
      </c>
      <c r="AD13" s="335"/>
      <c r="AE13" s="336">
        <f t="shared" si="18"/>
        <v>12.363750000000001</v>
      </c>
      <c r="AF13" s="337">
        <f t="shared" si="19"/>
        <v>60.480000000000004</v>
      </c>
      <c r="AG13" s="338">
        <f t="shared" si="20"/>
        <v>29.295000000000002</v>
      </c>
      <c r="AH13" s="339">
        <v>187</v>
      </c>
      <c r="AI13" s="340">
        <v>210</v>
      </c>
      <c r="AJ13" s="340">
        <v>231</v>
      </c>
      <c r="AK13" s="340">
        <v>245</v>
      </c>
      <c r="AL13" s="340">
        <v>261</v>
      </c>
      <c r="AM13" s="340">
        <v>263</v>
      </c>
      <c r="AN13" s="340">
        <v>284</v>
      </c>
      <c r="AO13" s="340">
        <v>302</v>
      </c>
      <c r="AP13" s="340">
        <v>338</v>
      </c>
      <c r="AQ13" s="340">
        <v>418</v>
      </c>
      <c r="AR13" s="340">
        <v>468</v>
      </c>
      <c r="AS13" s="340">
        <v>570</v>
      </c>
      <c r="AT13" s="341">
        <v>630</v>
      </c>
      <c r="AU13" s="339">
        <f t="shared" si="21"/>
        <v>0</v>
      </c>
      <c r="AV13" s="340">
        <f t="shared" si="22"/>
        <v>0</v>
      </c>
      <c r="AW13" s="340">
        <f t="shared" si="23"/>
        <v>0</v>
      </c>
      <c r="AX13" s="340">
        <f t="shared" si="24"/>
        <v>0</v>
      </c>
      <c r="AY13" s="340">
        <f t="shared" si="25"/>
        <v>0</v>
      </c>
      <c r="AZ13" s="340">
        <f t="shared" si="26"/>
        <v>0</v>
      </c>
      <c r="BA13" s="340">
        <f t="shared" si="27"/>
        <v>0</v>
      </c>
      <c r="BB13" s="340">
        <f t="shared" si="28"/>
        <v>0</v>
      </c>
      <c r="BC13" s="340">
        <f t="shared" si="29"/>
        <v>338</v>
      </c>
      <c r="BD13" s="340">
        <f t="shared" si="30"/>
        <v>0</v>
      </c>
      <c r="BE13" s="340">
        <f t="shared" si="31"/>
        <v>0</v>
      </c>
      <c r="BF13" s="340">
        <f t="shared" si="32"/>
        <v>0</v>
      </c>
      <c r="BG13" s="340">
        <f t="shared" si="33"/>
        <v>0</v>
      </c>
      <c r="BH13" s="339" t="str">
        <f t="shared" si="34"/>
        <v/>
      </c>
      <c r="BI13" s="340" t="str">
        <f t="shared" si="35"/>
        <v/>
      </c>
      <c r="BJ13" s="340" t="str">
        <f t="shared" si="36"/>
        <v/>
      </c>
      <c r="BK13" s="340" t="str">
        <f t="shared" si="37"/>
        <v/>
      </c>
      <c r="BL13" s="340" t="str">
        <f t="shared" si="38"/>
        <v/>
      </c>
      <c r="BM13" s="340" t="str">
        <f t="shared" si="39"/>
        <v/>
      </c>
      <c r="BN13" s="340" t="str">
        <f t="shared" si="40"/>
        <v/>
      </c>
      <c r="BO13" s="340" t="str">
        <f t="shared" si="41"/>
        <v/>
      </c>
      <c r="BP13" s="340">
        <f t="shared" si="42"/>
        <v>28</v>
      </c>
      <c r="BQ13" s="340" t="str">
        <f t="shared" si="43"/>
        <v/>
      </c>
      <c r="BR13" s="340" t="str">
        <f t="shared" si="44"/>
        <v/>
      </c>
      <c r="BS13" s="340" t="str">
        <f t="shared" si="45"/>
        <v/>
      </c>
      <c r="BT13" s="341" t="str">
        <f t="shared" si="46"/>
        <v/>
      </c>
      <c r="BU13" s="324"/>
    </row>
    <row r="14" spans="1:73" s="342" customFormat="1">
      <c r="A14" s="324"/>
      <c r="B14" s="324"/>
      <c r="C14" s="570" t="s">
        <v>576</v>
      </c>
      <c r="D14" s="572">
        <v>10.8</v>
      </c>
      <c r="E14" s="572">
        <v>8.7789999999999999</v>
      </c>
      <c r="F14" s="327">
        <f t="shared" si="0"/>
        <v>2.0210000000000008</v>
      </c>
      <c r="G14" s="570" t="s">
        <v>574</v>
      </c>
      <c r="H14" s="572">
        <v>10.7</v>
      </c>
      <c r="I14" s="572">
        <v>8.5779999999999994</v>
      </c>
      <c r="J14" s="327">
        <f t="shared" si="1"/>
        <v>2.1219999999999999</v>
      </c>
      <c r="K14" s="343">
        <f t="shared" si="2"/>
        <v>2.25</v>
      </c>
      <c r="L14" s="570">
        <v>19</v>
      </c>
      <c r="M14" s="570">
        <v>750</v>
      </c>
      <c r="N14" s="345">
        <f t="shared" si="3"/>
        <v>298</v>
      </c>
      <c r="O14" s="345">
        <v>109</v>
      </c>
      <c r="P14" s="346">
        <f t="shared" si="4"/>
        <v>189</v>
      </c>
      <c r="Q14" s="332" t="str">
        <f t="shared" si="5"/>
        <v/>
      </c>
      <c r="R14" s="332" t="str">
        <f t="shared" si="6"/>
        <v/>
      </c>
      <c r="S14" s="333" t="str">
        <f t="shared" si="7"/>
        <v/>
      </c>
      <c r="T14" s="333" t="str">
        <f t="shared" si="8"/>
        <v/>
      </c>
      <c r="U14" s="333" t="str">
        <f t="shared" si="9"/>
        <v/>
      </c>
      <c r="V14" s="333" t="str">
        <f t="shared" si="10"/>
        <v/>
      </c>
      <c r="W14" s="333" t="str">
        <f t="shared" si="11"/>
        <v/>
      </c>
      <c r="X14" s="333" t="str">
        <f t="shared" si="12"/>
        <v/>
      </c>
      <c r="Y14" s="333">
        <f t="shared" si="13"/>
        <v>3591</v>
      </c>
      <c r="Z14" s="333" t="str">
        <f t="shared" si="14"/>
        <v/>
      </c>
      <c r="AA14" s="333" t="str">
        <f t="shared" si="15"/>
        <v/>
      </c>
      <c r="AB14" s="333" t="str">
        <f t="shared" si="16"/>
        <v/>
      </c>
      <c r="AC14" s="334" t="str">
        <f t="shared" si="17"/>
        <v/>
      </c>
      <c r="AD14" s="335"/>
      <c r="AE14" s="336">
        <f t="shared" si="18"/>
        <v>8.3896875000000009</v>
      </c>
      <c r="AF14" s="337">
        <f t="shared" si="19"/>
        <v>41.040000000000006</v>
      </c>
      <c r="AG14" s="338">
        <f t="shared" si="20"/>
        <v>19.878750000000004</v>
      </c>
      <c r="AH14" s="339">
        <v>145</v>
      </c>
      <c r="AI14" s="340">
        <v>189</v>
      </c>
      <c r="AJ14" s="340">
        <v>195</v>
      </c>
      <c r="AK14" s="340">
        <v>212</v>
      </c>
      <c r="AL14" s="340">
        <v>226</v>
      </c>
      <c r="AM14" s="340">
        <v>234</v>
      </c>
      <c r="AN14" s="340">
        <v>250</v>
      </c>
      <c r="AO14" s="340">
        <v>268</v>
      </c>
      <c r="AP14" s="340">
        <v>298</v>
      </c>
      <c r="AQ14" s="340">
        <v>378</v>
      </c>
      <c r="AR14" s="340">
        <v>428</v>
      </c>
      <c r="AS14" s="340">
        <v>538</v>
      </c>
      <c r="AT14" s="341">
        <v>598</v>
      </c>
      <c r="AU14" s="339">
        <f t="shared" si="21"/>
        <v>0</v>
      </c>
      <c r="AV14" s="340">
        <f t="shared" si="22"/>
        <v>0</v>
      </c>
      <c r="AW14" s="340">
        <f t="shared" si="23"/>
        <v>0</v>
      </c>
      <c r="AX14" s="340">
        <f t="shared" si="24"/>
        <v>0</v>
      </c>
      <c r="AY14" s="340">
        <f t="shared" si="25"/>
        <v>0</v>
      </c>
      <c r="AZ14" s="340">
        <f t="shared" si="26"/>
        <v>0</v>
      </c>
      <c r="BA14" s="340">
        <f t="shared" si="27"/>
        <v>0</v>
      </c>
      <c r="BB14" s="340">
        <f t="shared" si="28"/>
        <v>0</v>
      </c>
      <c r="BC14" s="340">
        <f t="shared" si="29"/>
        <v>298</v>
      </c>
      <c r="BD14" s="340">
        <f t="shared" si="30"/>
        <v>0</v>
      </c>
      <c r="BE14" s="340">
        <f t="shared" si="31"/>
        <v>0</v>
      </c>
      <c r="BF14" s="340">
        <f t="shared" si="32"/>
        <v>0</v>
      </c>
      <c r="BG14" s="340">
        <f t="shared" si="33"/>
        <v>0</v>
      </c>
      <c r="BH14" s="339" t="str">
        <f t="shared" si="34"/>
        <v/>
      </c>
      <c r="BI14" s="340" t="str">
        <f t="shared" si="35"/>
        <v/>
      </c>
      <c r="BJ14" s="340" t="str">
        <f t="shared" si="36"/>
        <v/>
      </c>
      <c r="BK14" s="340" t="str">
        <f t="shared" si="37"/>
        <v/>
      </c>
      <c r="BL14" s="340" t="str">
        <f t="shared" si="38"/>
        <v/>
      </c>
      <c r="BM14" s="340" t="str">
        <f t="shared" si="39"/>
        <v/>
      </c>
      <c r="BN14" s="340" t="str">
        <f t="shared" si="40"/>
        <v/>
      </c>
      <c r="BO14" s="340" t="str">
        <f t="shared" si="41"/>
        <v/>
      </c>
      <c r="BP14" s="340">
        <f t="shared" si="42"/>
        <v>19</v>
      </c>
      <c r="BQ14" s="340" t="str">
        <f t="shared" si="43"/>
        <v/>
      </c>
      <c r="BR14" s="340" t="str">
        <f t="shared" si="44"/>
        <v/>
      </c>
      <c r="BS14" s="340" t="str">
        <f t="shared" si="45"/>
        <v/>
      </c>
      <c r="BT14" s="341" t="str">
        <f t="shared" si="46"/>
        <v/>
      </c>
      <c r="BU14" s="324"/>
    </row>
    <row r="15" spans="1:73" s="342" customFormat="1">
      <c r="A15" s="324"/>
      <c r="B15" s="324"/>
      <c r="C15" s="570"/>
      <c r="D15" s="572"/>
      <c r="E15" s="572"/>
      <c r="F15" s="327">
        <f t="shared" si="0"/>
        <v>0</v>
      </c>
      <c r="G15" s="570"/>
      <c r="H15" s="572"/>
      <c r="I15" s="572"/>
      <c r="J15" s="327">
        <f t="shared" si="1"/>
        <v>0</v>
      </c>
      <c r="K15" s="343">
        <f t="shared" si="2"/>
        <v>0</v>
      </c>
      <c r="L15" s="570"/>
      <c r="M15" s="570"/>
      <c r="N15" s="345">
        <f t="shared" si="3"/>
        <v>0</v>
      </c>
      <c r="O15" s="345">
        <v>109</v>
      </c>
      <c r="P15" s="346">
        <f t="shared" si="4"/>
        <v>0</v>
      </c>
      <c r="Q15" s="332" t="str">
        <f t="shared" si="5"/>
        <v/>
      </c>
      <c r="R15" s="332" t="str">
        <f t="shared" si="6"/>
        <v/>
      </c>
      <c r="S15" s="333" t="str">
        <f t="shared" si="7"/>
        <v/>
      </c>
      <c r="T15" s="333" t="str">
        <f t="shared" si="8"/>
        <v/>
      </c>
      <c r="U15" s="333" t="str">
        <f t="shared" si="9"/>
        <v/>
      </c>
      <c r="V15" s="333" t="str">
        <f t="shared" si="10"/>
        <v/>
      </c>
      <c r="W15" s="333" t="str">
        <f t="shared" si="11"/>
        <v/>
      </c>
      <c r="X15" s="333" t="str">
        <f t="shared" si="12"/>
        <v/>
      </c>
      <c r="Y15" s="333" t="str">
        <f t="shared" si="13"/>
        <v/>
      </c>
      <c r="Z15" s="333" t="str">
        <f t="shared" si="14"/>
        <v/>
      </c>
      <c r="AA15" s="333" t="str">
        <f t="shared" si="15"/>
        <v/>
      </c>
      <c r="AB15" s="333" t="str">
        <f t="shared" si="16"/>
        <v/>
      </c>
      <c r="AC15" s="334" t="str">
        <f t="shared" si="17"/>
        <v/>
      </c>
      <c r="AD15" s="335"/>
      <c r="AE15" s="336">
        <f t="shared" si="18"/>
        <v>0</v>
      </c>
      <c r="AF15" s="337">
        <f t="shared" si="19"/>
        <v>0</v>
      </c>
      <c r="AG15" s="338">
        <f t="shared" si="20"/>
        <v>0</v>
      </c>
      <c r="AH15" s="339">
        <v>240</v>
      </c>
      <c r="AI15" s="340">
        <v>296</v>
      </c>
      <c r="AJ15" s="340">
        <v>311</v>
      </c>
      <c r="AK15" s="340">
        <v>336</v>
      </c>
      <c r="AL15" s="340">
        <v>341</v>
      </c>
      <c r="AM15" s="340">
        <v>337</v>
      </c>
      <c r="AN15" s="340">
        <v>352</v>
      </c>
      <c r="AO15" s="340">
        <v>370</v>
      </c>
      <c r="AP15" s="340">
        <v>414</v>
      </c>
      <c r="AQ15" s="340">
        <v>494</v>
      </c>
      <c r="AR15" s="340">
        <v>544</v>
      </c>
      <c r="AS15" s="340">
        <v>643</v>
      </c>
      <c r="AT15" s="341">
        <v>703</v>
      </c>
      <c r="AU15" s="339">
        <f t="shared" si="21"/>
        <v>0</v>
      </c>
      <c r="AV15" s="340">
        <f t="shared" si="22"/>
        <v>0</v>
      </c>
      <c r="AW15" s="340">
        <f t="shared" si="23"/>
        <v>0</v>
      </c>
      <c r="AX15" s="340">
        <f t="shared" si="24"/>
        <v>0</v>
      </c>
      <c r="AY15" s="340">
        <f t="shared" si="25"/>
        <v>0</v>
      </c>
      <c r="AZ15" s="340">
        <f t="shared" si="26"/>
        <v>0</v>
      </c>
      <c r="BA15" s="340">
        <f t="shared" si="27"/>
        <v>0</v>
      </c>
      <c r="BB15" s="340">
        <f t="shared" si="28"/>
        <v>0</v>
      </c>
      <c r="BC15" s="340">
        <f t="shared" si="29"/>
        <v>0</v>
      </c>
      <c r="BD15" s="340">
        <f t="shared" si="30"/>
        <v>0</v>
      </c>
      <c r="BE15" s="340">
        <f t="shared" si="31"/>
        <v>0</v>
      </c>
      <c r="BF15" s="340">
        <f t="shared" si="32"/>
        <v>0</v>
      </c>
      <c r="BG15" s="340">
        <f t="shared" si="33"/>
        <v>0</v>
      </c>
      <c r="BH15" s="339" t="str">
        <f t="shared" si="34"/>
        <v/>
      </c>
      <c r="BI15" s="340" t="str">
        <f t="shared" si="35"/>
        <v/>
      </c>
      <c r="BJ15" s="340" t="str">
        <f t="shared" si="36"/>
        <v/>
      </c>
      <c r="BK15" s="340" t="str">
        <f t="shared" si="37"/>
        <v/>
      </c>
      <c r="BL15" s="340" t="str">
        <f t="shared" si="38"/>
        <v/>
      </c>
      <c r="BM15" s="340" t="str">
        <f t="shared" si="39"/>
        <v/>
      </c>
      <c r="BN15" s="340" t="str">
        <f t="shared" si="40"/>
        <v/>
      </c>
      <c r="BO15" s="340" t="str">
        <f t="shared" si="41"/>
        <v/>
      </c>
      <c r="BP15" s="340" t="str">
        <f t="shared" si="42"/>
        <v/>
      </c>
      <c r="BQ15" s="340" t="str">
        <f t="shared" si="43"/>
        <v/>
      </c>
      <c r="BR15" s="340" t="str">
        <f t="shared" si="44"/>
        <v/>
      </c>
      <c r="BS15" s="340" t="str">
        <f t="shared" si="45"/>
        <v/>
      </c>
      <c r="BT15" s="341" t="str">
        <f t="shared" si="46"/>
        <v/>
      </c>
      <c r="BU15" s="324"/>
    </row>
    <row r="16" spans="1:73" s="342" customFormat="1">
      <c r="A16" s="324"/>
      <c r="B16" s="324"/>
      <c r="C16" s="570" t="s">
        <v>575</v>
      </c>
      <c r="D16" s="572">
        <v>11</v>
      </c>
      <c r="E16" s="572">
        <v>8.74</v>
      </c>
      <c r="F16" s="327">
        <f t="shared" si="0"/>
        <v>2.2599999999999998</v>
      </c>
      <c r="G16" s="570" t="s">
        <v>574</v>
      </c>
      <c r="H16" s="572">
        <v>10.7</v>
      </c>
      <c r="I16" s="572">
        <v>8.5779999999999994</v>
      </c>
      <c r="J16" s="327">
        <f t="shared" si="1"/>
        <v>2.1219999999999999</v>
      </c>
      <c r="K16" s="343">
        <f t="shared" si="2"/>
        <v>2.25</v>
      </c>
      <c r="L16" s="570">
        <v>65</v>
      </c>
      <c r="M16" s="570">
        <v>900</v>
      </c>
      <c r="N16" s="345">
        <f t="shared" si="3"/>
        <v>562</v>
      </c>
      <c r="O16" s="345">
        <v>109</v>
      </c>
      <c r="P16" s="346">
        <f t="shared" si="4"/>
        <v>453</v>
      </c>
      <c r="Q16" s="332" t="str">
        <f t="shared" si="5"/>
        <v/>
      </c>
      <c r="R16" s="332" t="str">
        <f t="shared" si="6"/>
        <v/>
      </c>
      <c r="S16" s="333" t="str">
        <f t="shared" si="7"/>
        <v/>
      </c>
      <c r="T16" s="333" t="str">
        <f t="shared" si="8"/>
        <v/>
      </c>
      <c r="U16" s="333" t="str">
        <f t="shared" si="9"/>
        <v/>
      </c>
      <c r="V16" s="333" t="str">
        <f t="shared" si="10"/>
        <v/>
      </c>
      <c r="W16" s="333" t="str">
        <f t="shared" si="11"/>
        <v/>
      </c>
      <c r="X16" s="333" t="str">
        <f t="shared" si="12"/>
        <v/>
      </c>
      <c r="Y16" s="333" t="str">
        <f t="shared" si="13"/>
        <v/>
      </c>
      <c r="Z16" s="333">
        <f t="shared" si="14"/>
        <v>29445</v>
      </c>
      <c r="AA16" s="333" t="str">
        <f t="shared" si="15"/>
        <v/>
      </c>
      <c r="AB16" s="333" t="str">
        <f t="shared" si="16"/>
        <v/>
      </c>
      <c r="AC16" s="334"/>
      <c r="AD16" s="335"/>
      <c r="AE16" s="336">
        <f t="shared" si="18"/>
        <v>41.330249999999999</v>
      </c>
      <c r="AF16" s="337">
        <f t="shared" si="19"/>
        <v>157.95000000000002</v>
      </c>
      <c r="AG16" s="338">
        <f t="shared" si="20"/>
        <v>68.006250000000009</v>
      </c>
      <c r="AH16" s="339">
        <v>281</v>
      </c>
      <c r="AI16" s="340">
        <v>356</v>
      </c>
      <c r="AJ16" s="340">
        <v>0</v>
      </c>
      <c r="AK16" s="340">
        <v>0</v>
      </c>
      <c r="AL16" s="340">
        <v>414</v>
      </c>
      <c r="AM16" s="340">
        <v>417</v>
      </c>
      <c r="AN16" s="340">
        <v>420</v>
      </c>
      <c r="AO16" s="340">
        <v>438</v>
      </c>
      <c r="AP16" s="340">
        <v>482</v>
      </c>
      <c r="AQ16" s="340">
        <v>562</v>
      </c>
      <c r="AR16" s="340">
        <v>612</v>
      </c>
      <c r="AS16" s="340">
        <v>721</v>
      </c>
      <c r="AT16" s="341">
        <v>781</v>
      </c>
      <c r="AU16" s="339">
        <f t="shared" si="21"/>
        <v>0</v>
      </c>
      <c r="AV16" s="340">
        <f t="shared" si="22"/>
        <v>0</v>
      </c>
      <c r="AW16" s="340">
        <f t="shared" si="23"/>
        <v>0</v>
      </c>
      <c r="AX16" s="340">
        <f t="shared" si="24"/>
        <v>0</v>
      </c>
      <c r="AY16" s="340">
        <f t="shared" si="25"/>
        <v>0</v>
      </c>
      <c r="AZ16" s="340">
        <f t="shared" si="26"/>
        <v>0</v>
      </c>
      <c r="BA16" s="340">
        <f t="shared" si="27"/>
        <v>0</v>
      </c>
      <c r="BB16" s="340">
        <f t="shared" si="28"/>
        <v>0</v>
      </c>
      <c r="BC16" s="340">
        <f t="shared" si="29"/>
        <v>0</v>
      </c>
      <c r="BD16" s="340">
        <f t="shared" si="30"/>
        <v>562</v>
      </c>
      <c r="BE16" s="340">
        <f t="shared" si="31"/>
        <v>0</v>
      </c>
      <c r="BF16" s="340">
        <f t="shared" si="32"/>
        <v>0</v>
      </c>
      <c r="BG16" s="340">
        <f t="shared" si="33"/>
        <v>0</v>
      </c>
      <c r="BH16" s="339" t="str">
        <f t="shared" si="34"/>
        <v/>
      </c>
      <c r="BI16" s="340" t="str">
        <f t="shared" si="35"/>
        <v/>
      </c>
      <c r="BJ16" s="340" t="str">
        <f t="shared" si="36"/>
        <v/>
      </c>
      <c r="BK16" s="340" t="str">
        <f t="shared" si="37"/>
        <v/>
      </c>
      <c r="BL16" s="340" t="str">
        <f t="shared" si="38"/>
        <v/>
      </c>
      <c r="BM16" s="340" t="str">
        <f t="shared" si="39"/>
        <v/>
      </c>
      <c r="BN16" s="340" t="str">
        <f t="shared" si="40"/>
        <v/>
      </c>
      <c r="BO16" s="340" t="str">
        <f t="shared" si="41"/>
        <v/>
      </c>
      <c r="BP16" s="340" t="str">
        <f t="shared" si="42"/>
        <v/>
      </c>
      <c r="BQ16" s="340">
        <f t="shared" si="43"/>
        <v>65</v>
      </c>
      <c r="BR16" s="340" t="str">
        <f t="shared" si="44"/>
        <v/>
      </c>
      <c r="BS16" s="340" t="str">
        <f t="shared" si="45"/>
        <v/>
      </c>
      <c r="BT16" s="341" t="str">
        <f t="shared" si="46"/>
        <v/>
      </c>
      <c r="BU16" s="324"/>
    </row>
    <row r="17" spans="1:73" s="342" customFormat="1">
      <c r="A17" s="324"/>
      <c r="B17" s="324"/>
      <c r="C17" s="570"/>
      <c r="D17" s="572"/>
      <c r="E17" s="572"/>
      <c r="F17" s="327">
        <f t="shared" si="0"/>
        <v>0</v>
      </c>
      <c r="G17" s="570"/>
      <c r="H17" s="572"/>
      <c r="I17" s="572"/>
      <c r="J17" s="327">
        <f t="shared" si="1"/>
        <v>0</v>
      </c>
      <c r="K17" s="343">
        <f t="shared" si="2"/>
        <v>0</v>
      </c>
      <c r="L17" s="570"/>
      <c r="M17" s="570"/>
      <c r="N17" s="345">
        <f t="shared" si="3"/>
        <v>0</v>
      </c>
      <c r="O17" s="345">
        <v>109</v>
      </c>
      <c r="P17" s="346">
        <f t="shared" si="4"/>
        <v>0</v>
      </c>
      <c r="Q17" s="332" t="str">
        <f t="shared" si="5"/>
        <v/>
      </c>
      <c r="R17" s="332" t="str">
        <f t="shared" si="6"/>
        <v/>
      </c>
      <c r="S17" s="333" t="str">
        <f t="shared" si="7"/>
        <v/>
      </c>
      <c r="T17" s="333" t="str">
        <f t="shared" si="8"/>
        <v/>
      </c>
      <c r="U17" s="333" t="str">
        <f t="shared" si="9"/>
        <v/>
      </c>
      <c r="V17" s="333" t="str">
        <f t="shared" si="10"/>
        <v/>
      </c>
      <c r="W17" s="333" t="str">
        <f t="shared" si="11"/>
        <v/>
      </c>
      <c r="X17" s="333" t="str">
        <f t="shared" si="12"/>
        <v/>
      </c>
      <c r="Y17" s="333" t="str">
        <f t="shared" si="13"/>
        <v/>
      </c>
      <c r="Z17" s="333" t="str">
        <f t="shared" si="14"/>
        <v/>
      </c>
      <c r="AA17" s="333" t="str">
        <f t="shared" si="15"/>
        <v/>
      </c>
      <c r="AB17" s="333" t="str">
        <f t="shared" si="16"/>
        <v/>
      </c>
      <c r="AC17" s="334"/>
      <c r="AD17" s="335"/>
      <c r="AE17" s="336">
        <f t="shared" si="18"/>
        <v>0</v>
      </c>
      <c r="AF17" s="337">
        <f t="shared" si="19"/>
        <v>0</v>
      </c>
      <c r="AG17" s="338">
        <f t="shared" si="20"/>
        <v>0</v>
      </c>
      <c r="AH17" s="339">
        <v>204</v>
      </c>
      <c r="AI17" s="340">
        <v>240</v>
      </c>
      <c r="AJ17" s="340">
        <v>271</v>
      </c>
      <c r="AK17" s="340">
        <v>285</v>
      </c>
      <c r="AL17" s="340">
        <v>289</v>
      </c>
      <c r="AM17" s="340">
        <v>291</v>
      </c>
      <c r="AN17" s="340">
        <v>318</v>
      </c>
      <c r="AO17" s="340">
        <v>336</v>
      </c>
      <c r="AP17" s="340">
        <v>380</v>
      </c>
      <c r="AQ17" s="340">
        <v>460</v>
      </c>
      <c r="AR17" s="340">
        <v>510</v>
      </c>
      <c r="AS17" s="340">
        <v>609</v>
      </c>
      <c r="AT17" s="341">
        <v>669</v>
      </c>
      <c r="AU17" s="339">
        <f t="shared" si="21"/>
        <v>0</v>
      </c>
      <c r="AV17" s="340">
        <f t="shared" si="22"/>
        <v>0</v>
      </c>
      <c r="AW17" s="340">
        <f t="shared" si="23"/>
        <v>0</v>
      </c>
      <c r="AX17" s="340">
        <f t="shared" si="24"/>
        <v>0</v>
      </c>
      <c r="AY17" s="340">
        <f t="shared" si="25"/>
        <v>0</v>
      </c>
      <c r="AZ17" s="340">
        <f t="shared" si="26"/>
        <v>0</v>
      </c>
      <c r="BA17" s="340">
        <f t="shared" si="27"/>
        <v>0</v>
      </c>
      <c r="BB17" s="340">
        <f t="shared" si="28"/>
        <v>0</v>
      </c>
      <c r="BC17" s="340">
        <f t="shared" si="29"/>
        <v>0</v>
      </c>
      <c r="BD17" s="340">
        <f t="shared" si="30"/>
        <v>0</v>
      </c>
      <c r="BE17" s="340">
        <f t="shared" si="31"/>
        <v>0</v>
      </c>
      <c r="BF17" s="340">
        <f t="shared" si="32"/>
        <v>0</v>
      </c>
      <c r="BG17" s="340">
        <f t="shared" si="33"/>
        <v>0</v>
      </c>
      <c r="BH17" s="339" t="str">
        <f t="shared" si="34"/>
        <v/>
      </c>
      <c r="BI17" s="340" t="str">
        <f t="shared" si="35"/>
        <v/>
      </c>
      <c r="BJ17" s="340" t="str">
        <f t="shared" si="36"/>
        <v/>
      </c>
      <c r="BK17" s="340" t="str">
        <f t="shared" si="37"/>
        <v/>
      </c>
      <c r="BL17" s="340" t="str">
        <f t="shared" si="38"/>
        <v/>
      </c>
      <c r="BM17" s="340" t="str">
        <f t="shared" si="39"/>
        <v/>
      </c>
      <c r="BN17" s="340" t="str">
        <f t="shared" si="40"/>
        <v/>
      </c>
      <c r="BO17" s="340" t="str">
        <f t="shared" si="41"/>
        <v/>
      </c>
      <c r="BP17" s="340" t="str">
        <f t="shared" si="42"/>
        <v/>
      </c>
      <c r="BQ17" s="340" t="str">
        <f t="shared" si="43"/>
        <v/>
      </c>
      <c r="BR17" s="340" t="str">
        <f t="shared" si="44"/>
        <v/>
      </c>
      <c r="BS17" s="340" t="str">
        <f t="shared" si="45"/>
        <v/>
      </c>
      <c r="BT17" s="341" t="str">
        <f t="shared" si="46"/>
        <v/>
      </c>
      <c r="BU17" s="324"/>
    </row>
    <row r="18" spans="1:73" s="342" customFormat="1">
      <c r="A18" s="324"/>
      <c r="B18" s="324"/>
      <c r="C18" s="570" t="s">
        <v>574</v>
      </c>
      <c r="D18" s="572">
        <v>10.7</v>
      </c>
      <c r="E18" s="572">
        <v>8.5779999999999994</v>
      </c>
      <c r="F18" s="327">
        <f t="shared" si="0"/>
        <v>2.1219999999999999</v>
      </c>
      <c r="G18" s="570" t="s">
        <v>573</v>
      </c>
      <c r="H18" s="572">
        <v>10.8</v>
      </c>
      <c r="I18" s="572">
        <v>8.5429999999999993</v>
      </c>
      <c r="J18" s="327">
        <f t="shared" si="1"/>
        <v>2.2570000000000014</v>
      </c>
      <c r="K18" s="343">
        <f t="shared" si="2"/>
        <v>2.25</v>
      </c>
      <c r="L18" s="570">
        <v>14</v>
      </c>
      <c r="M18" s="570">
        <v>900</v>
      </c>
      <c r="N18" s="345">
        <f t="shared" si="3"/>
        <v>397</v>
      </c>
      <c r="O18" s="345">
        <v>109</v>
      </c>
      <c r="P18" s="346">
        <f t="shared" si="4"/>
        <v>288</v>
      </c>
      <c r="Q18" s="332" t="str">
        <f t="shared" si="5"/>
        <v/>
      </c>
      <c r="R18" s="332" t="str">
        <f t="shared" si="6"/>
        <v/>
      </c>
      <c r="S18" s="333" t="str">
        <f t="shared" si="7"/>
        <v/>
      </c>
      <c r="T18" s="333" t="str">
        <f t="shared" si="8"/>
        <v/>
      </c>
      <c r="U18" s="333" t="str">
        <f t="shared" si="9"/>
        <v/>
      </c>
      <c r="V18" s="333" t="str">
        <f t="shared" si="10"/>
        <v/>
      </c>
      <c r="W18" s="333" t="str">
        <f t="shared" si="11"/>
        <v/>
      </c>
      <c r="X18" s="333" t="str">
        <f t="shared" si="12"/>
        <v/>
      </c>
      <c r="Y18" s="333" t="str">
        <f t="shared" si="13"/>
        <v/>
      </c>
      <c r="Z18" s="333">
        <f t="shared" si="14"/>
        <v>4032</v>
      </c>
      <c r="AA18" s="333" t="str">
        <f t="shared" si="15"/>
        <v/>
      </c>
      <c r="AB18" s="333" t="str">
        <f t="shared" si="16"/>
        <v/>
      </c>
      <c r="AC18" s="334" t="str">
        <f t="shared" ref="AC18:AC45" si="47">IF($M18=$AC$7,$L18*$P18,"")</f>
        <v/>
      </c>
      <c r="AD18" s="335"/>
      <c r="AE18" s="336">
        <f t="shared" si="18"/>
        <v>8.9019000000000013</v>
      </c>
      <c r="AF18" s="337">
        <f t="shared" si="19"/>
        <v>34.020000000000003</v>
      </c>
      <c r="AG18" s="338">
        <f t="shared" si="20"/>
        <v>14.647500000000001</v>
      </c>
      <c r="AH18" s="339">
        <v>165</v>
      </c>
      <c r="AI18" s="340">
        <v>195</v>
      </c>
      <c r="AJ18" s="340">
        <v>219</v>
      </c>
      <c r="AK18" s="340">
        <v>225</v>
      </c>
      <c r="AL18" s="340">
        <v>247</v>
      </c>
      <c r="AM18" s="340">
        <v>242</v>
      </c>
      <c r="AN18" s="340">
        <v>267</v>
      </c>
      <c r="AO18" s="340">
        <v>285</v>
      </c>
      <c r="AP18" s="340">
        <v>317</v>
      </c>
      <c r="AQ18" s="340">
        <v>397</v>
      </c>
      <c r="AR18" s="340">
        <v>447</v>
      </c>
      <c r="AS18" s="340">
        <v>560</v>
      </c>
      <c r="AT18" s="341">
        <v>620</v>
      </c>
      <c r="AU18" s="339">
        <f t="shared" si="21"/>
        <v>0</v>
      </c>
      <c r="AV18" s="340">
        <f t="shared" si="22"/>
        <v>0</v>
      </c>
      <c r="AW18" s="340">
        <f t="shared" si="23"/>
        <v>0</v>
      </c>
      <c r="AX18" s="340">
        <f t="shared" si="24"/>
        <v>0</v>
      </c>
      <c r="AY18" s="340">
        <f t="shared" si="25"/>
        <v>0</v>
      </c>
      <c r="AZ18" s="340">
        <f t="shared" si="26"/>
        <v>0</v>
      </c>
      <c r="BA18" s="340">
        <f t="shared" si="27"/>
        <v>0</v>
      </c>
      <c r="BB18" s="340">
        <f t="shared" si="28"/>
        <v>0</v>
      </c>
      <c r="BC18" s="340">
        <f t="shared" si="29"/>
        <v>0</v>
      </c>
      <c r="BD18" s="340">
        <f t="shared" si="30"/>
        <v>397</v>
      </c>
      <c r="BE18" s="340">
        <f t="shared" si="31"/>
        <v>0</v>
      </c>
      <c r="BF18" s="340">
        <f t="shared" si="32"/>
        <v>0</v>
      </c>
      <c r="BG18" s="340">
        <f t="shared" si="33"/>
        <v>0</v>
      </c>
      <c r="BH18" s="339" t="str">
        <f t="shared" si="34"/>
        <v/>
      </c>
      <c r="BI18" s="340" t="str">
        <f t="shared" si="35"/>
        <v/>
      </c>
      <c r="BJ18" s="340" t="str">
        <f t="shared" si="36"/>
        <v/>
      </c>
      <c r="BK18" s="340" t="str">
        <f t="shared" si="37"/>
        <v/>
      </c>
      <c r="BL18" s="340" t="str">
        <f t="shared" si="38"/>
        <v/>
      </c>
      <c r="BM18" s="340" t="str">
        <f t="shared" si="39"/>
        <v/>
      </c>
      <c r="BN18" s="340" t="str">
        <f t="shared" si="40"/>
        <v/>
      </c>
      <c r="BO18" s="340" t="str">
        <f t="shared" si="41"/>
        <v/>
      </c>
      <c r="BP18" s="340" t="str">
        <f t="shared" si="42"/>
        <v/>
      </c>
      <c r="BQ18" s="340">
        <f t="shared" si="43"/>
        <v>14</v>
      </c>
      <c r="BR18" s="340" t="str">
        <f t="shared" si="44"/>
        <v/>
      </c>
      <c r="BS18" s="340" t="str">
        <f t="shared" si="45"/>
        <v/>
      </c>
      <c r="BT18" s="341" t="str">
        <f t="shared" si="46"/>
        <v/>
      </c>
      <c r="BU18" s="324"/>
    </row>
    <row r="19" spans="1:73" s="342" customFormat="1">
      <c r="A19" s="324"/>
      <c r="B19" s="324"/>
      <c r="C19" s="570" t="s">
        <v>573</v>
      </c>
      <c r="D19" s="572">
        <v>10.8</v>
      </c>
      <c r="E19" s="572">
        <v>8.5429999999999993</v>
      </c>
      <c r="F19" s="327">
        <f t="shared" si="0"/>
        <v>2.2570000000000014</v>
      </c>
      <c r="G19" s="570" t="s">
        <v>572</v>
      </c>
      <c r="H19" s="572">
        <v>11</v>
      </c>
      <c r="I19" s="572">
        <v>8.5069999999999997</v>
      </c>
      <c r="J19" s="327">
        <f t="shared" si="1"/>
        <v>2.4930000000000003</v>
      </c>
      <c r="K19" s="343">
        <f t="shared" si="2"/>
        <v>2.5</v>
      </c>
      <c r="L19" s="570">
        <v>14</v>
      </c>
      <c r="M19" s="570">
        <v>900</v>
      </c>
      <c r="N19" s="345">
        <f t="shared" si="3"/>
        <v>397</v>
      </c>
      <c r="O19" s="345">
        <v>109</v>
      </c>
      <c r="P19" s="346">
        <f t="shared" si="4"/>
        <v>288</v>
      </c>
      <c r="Q19" s="332" t="str">
        <f t="shared" si="5"/>
        <v/>
      </c>
      <c r="R19" s="332" t="str">
        <f t="shared" si="6"/>
        <v/>
      </c>
      <c r="S19" s="333" t="str">
        <f t="shared" si="7"/>
        <v/>
      </c>
      <c r="T19" s="333" t="str">
        <f t="shared" si="8"/>
        <v/>
      </c>
      <c r="U19" s="333" t="str">
        <f t="shared" si="9"/>
        <v/>
      </c>
      <c r="V19" s="333" t="str">
        <f t="shared" si="10"/>
        <v/>
      </c>
      <c r="W19" s="333" t="str">
        <f t="shared" si="11"/>
        <v/>
      </c>
      <c r="X19" s="333" t="str">
        <f t="shared" si="12"/>
        <v/>
      </c>
      <c r="Y19" s="333" t="str">
        <f t="shared" si="13"/>
        <v/>
      </c>
      <c r="Z19" s="333">
        <f t="shared" si="14"/>
        <v>4032</v>
      </c>
      <c r="AA19" s="333" t="str">
        <f t="shared" si="15"/>
        <v/>
      </c>
      <c r="AB19" s="333" t="str">
        <f t="shared" si="16"/>
        <v/>
      </c>
      <c r="AC19" s="334" t="str">
        <f t="shared" si="47"/>
        <v/>
      </c>
      <c r="AD19" s="335"/>
      <c r="AE19" s="336">
        <f t="shared" si="18"/>
        <v>8.9019000000000013</v>
      </c>
      <c r="AF19" s="337">
        <f t="shared" si="19"/>
        <v>38.745000000000005</v>
      </c>
      <c r="AG19" s="338">
        <f t="shared" si="20"/>
        <v>14.647500000000001</v>
      </c>
      <c r="AH19" s="339">
        <v>165</v>
      </c>
      <c r="AI19" s="340">
        <v>195</v>
      </c>
      <c r="AJ19" s="340">
        <v>219</v>
      </c>
      <c r="AK19" s="340">
        <v>225</v>
      </c>
      <c r="AL19" s="340">
        <v>247</v>
      </c>
      <c r="AM19" s="340">
        <v>242</v>
      </c>
      <c r="AN19" s="340">
        <v>267</v>
      </c>
      <c r="AO19" s="340">
        <v>285</v>
      </c>
      <c r="AP19" s="340">
        <v>317</v>
      </c>
      <c r="AQ19" s="340">
        <v>397</v>
      </c>
      <c r="AR19" s="340">
        <v>447</v>
      </c>
      <c r="AS19" s="340">
        <v>560</v>
      </c>
      <c r="AT19" s="341">
        <v>620</v>
      </c>
      <c r="AU19" s="339">
        <f t="shared" si="21"/>
        <v>0</v>
      </c>
      <c r="AV19" s="340">
        <f t="shared" si="22"/>
        <v>0</v>
      </c>
      <c r="AW19" s="340">
        <f t="shared" si="23"/>
        <v>0</v>
      </c>
      <c r="AX19" s="340">
        <f t="shared" si="24"/>
        <v>0</v>
      </c>
      <c r="AY19" s="340">
        <f t="shared" si="25"/>
        <v>0</v>
      </c>
      <c r="AZ19" s="340">
        <f t="shared" si="26"/>
        <v>0</v>
      </c>
      <c r="BA19" s="340">
        <f t="shared" si="27"/>
        <v>0</v>
      </c>
      <c r="BB19" s="340">
        <f t="shared" si="28"/>
        <v>0</v>
      </c>
      <c r="BC19" s="340">
        <f t="shared" si="29"/>
        <v>0</v>
      </c>
      <c r="BD19" s="340">
        <f t="shared" si="30"/>
        <v>397</v>
      </c>
      <c r="BE19" s="340">
        <f t="shared" si="31"/>
        <v>0</v>
      </c>
      <c r="BF19" s="340">
        <f t="shared" si="32"/>
        <v>0</v>
      </c>
      <c r="BG19" s="340">
        <f t="shared" si="33"/>
        <v>0</v>
      </c>
      <c r="BH19" s="339" t="str">
        <f t="shared" si="34"/>
        <v/>
      </c>
      <c r="BI19" s="340" t="str">
        <f t="shared" si="35"/>
        <v/>
      </c>
      <c r="BJ19" s="340" t="str">
        <f t="shared" si="36"/>
        <v/>
      </c>
      <c r="BK19" s="340" t="str">
        <f t="shared" si="37"/>
        <v/>
      </c>
      <c r="BL19" s="340" t="str">
        <f t="shared" si="38"/>
        <v/>
      </c>
      <c r="BM19" s="340" t="str">
        <f t="shared" si="39"/>
        <v/>
      </c>
      <c r="BN19" s="340" t="str">
        <f t="shared" si="40"/>
        <v/>
      </c>
      <c r="BO19" s="340" t="str">
        <f t="shared" si="41"/>
        <v/>
      </c>
      <c r="BP19" s="340" t="str">
        <f t="shared" si="42"/>
        <v/>
      </c>
      <c r="BQ19" s="340">
        <f t="shared" si="43"/>
        <v>14</v>
      </c>
      <c r="BR19" s="340" t="str">
        <f t="shared" si="44"/>
        <v/>
      </c>
      <c r="BS19" s="340" t="str">
        <f t="shared" si="45"/>
        <v/>
      </c>
      <c r="BT19" s="341" t="str">
        <f t="shared" si="46"/>
        <v/>
      </c>
      <c r="BU19" s="324"/>
    </row>
    <row r="20" spans="1:73" s="342" customFormat="1">
      <c r="A20" s="324"/>
      <c r="B20" s="324"/>
      <c r="C20" s="570" t="s">
        <v>572</v>
      </c>
      <c r="D20" s="572">
        <v>11</v>
      </c>
      <c r="E20" s="572">
        <v>8.5069999999999997</v>
      </c>
      <c r="F20" s="327">
        <f t="shared" si="0"/>
        <v>2.4930000000000003</v>
      </c>
      <c r="G20" s="570" t="s">
        <v>571</v>
      </c>
      <c r="H20" s="572">
        <v>11</v>
      </c>
      <c r="I20" s="572">
        <v>8.4629999999999992</v>
      </c>
      <c r="J20" s="327">
        <f t="shared" si="1"/>
        <v>2.5370000000000008</v>
      </c>
      <c r="K20" s="343">
        <f t="shared" si="2"/>
        <v>2.75</v>
      </c>
      <c r="L20" s="570">
        <v>18</v>
      </c>
      <c r="M20" s="570">
        <v>900</v>
      </c>
      <c r="N20" s="345">
        <f t="shared" si="3"/>
        <v>344</v>
      </c>
      <c r="O20" s="345">
        <v>109</v>
      </c>
      <c r="P20" s="346">
        <f t="shared" si="4"/>
        <v>235</v>
      </c>
      <c r="Q20" s="332" t="str">
        <f t="shared" si="5"/>
        <v/>
      </c>
      <c r="R20" s="332" t="str">
        <f t="shared" si="6"/>
        <v/>
      </c>
      <c r="S20" s="333" t="str">
        <f t="shared" si="7"/>
        <v/>
      </c>
      <c r="T20" s="333" t="str">
        <f t="shared" si="8"/>
        <v/>
      </c>
      <c r="U20" s="333" t="str">
        <f t="shared" si="9"/>
        <v/>
      </c>
      <c r="V20" s="333" t="str">
        <f t="shared" si="10"/>
        <v/>
      </c>
      <c r="W20" s="333" t="str">
        <f t="shared" si="11"/>
        <v/>
      </c>
      <c r="X20" s="333" t="str">
        <f t="shared" si="12"/>
        <v/>
      </c>
      <c r="Y20" s="333" t="str">
        <f t="shared" si="13"/>
        <v/>
      </c>
      <c r="Z20" s="333">
        <f t="shared" si="14"/>
        <v>4230</v>
      </c>
      <c r="AA20" s="333" t="str">
        <f t="shared" si="15"/>
        <v/>
      </c>
      <c r="AB20" s="333" t="str">
        <f t="shared" si="16"/>
        <v/>
      </c>
      <c r="AC20" s="334" t="str">
        <f t="shared" si="47"/>
        <v/>
      </c>
      <c r="AD20" s="335"/>
      <c r="AE20" s="336">
        <f t="shared" si="18"/>
        <v>11.4453</v>
      </c>
      <c r="AF20" s="337">
        <f t="shared" si="19"/>
        <v>55.89</v>
      </c>
      <c r="AG20" s="338">
        <f t="shared" si="20"/>
        <v>18.832500000000003</v>
      </c>
      <c r="AH20" s="339">
        <v>115</v>
      </c>
      <c r="AI20" s="340">
        <v>141</v>
      </c>
      <c r="AJ20" s="340">
        <v>160</v>
      </c>
      <c r="AK20" s="340">
        <v>195</v>
      </c>
      <c r="AL20" s="340">
        <v>205</v>
      </c>
      <c r="AM20" s="340">
        <v>197</v>
      </c>
      <c r="AN20" s="340">
        <v>216</v>
      </c>
      <c r="AO20" s="340">
        <v>234</v>
      </c>
      <c r="AP20" s="340">
        <v>264</v>
      </c>
      <c r="AQ20" s="340">
        <v>344</v>
      </c>
      <c r="AR20" s="340">
        <v>394</v>
      </c>
      <c r="AS20" s="340">
        <v>428</v>
      </c>
      <c r="AT20" s="341">
        <v>488</v>
      </c>
      <c r="AU20" s="339">
        <f t="shared" si="21"/>
        <v>0</v>
      </c>
      <c r="AV20" s="340">
        <f t="shared" si="22"/>
        <v>0</v>
      </c>
      <c r="AW20" s="340">
        <f t="shared" si="23"/>
        <v>0</v>
      </c>
      <c r="AX20" s="340">
        <f t="shared" si="24"/>
        <v>0</v>
      </c>
      <c r="AY20" s="340">
        <f t="shared" si="25"/>
        <v>0</v>
      </c>
      <c r="AZ20" s="340">
        <f t="shared" si="26"/>
        <v>0</v>
      </c>
      <c r="BA20" s="340">
        <f t="shared" si="27"/>
        <v>0</v>
      </c>
      <c r="BB20" s="340">
        <f t="shared" si="28"/>
        <v>0</v>
      </c>
      <c r="BC20" s="340">
        <f t="shared" si="29"/>
        <v>0</v>
      </c>
      <c r="BD20" s="340">
        <f t="shared" si="30"/>
        <v>344</v>
      </c>
      <c r="BE20" s="340">
        <f t="shared" si="31"/>
        <v>0</v>
      </c>
      <c r="BF20" s="340">
        <f t="shared" si="32"/>
        <v>0</v>
      </c>
      <c r="BG20" s="340">
        <f t="shared" si="33"/>
        <v>0</v>
      </c>
      <c r="BH20" s="339" t="str">
        <f t="shared" si="34"/>
        <v/>
      </c>
      <c r="BI20" s="340" t="str">
        <f t="shared" si="35"/>
        <v/>
      </c>
      <c r="BJ20" s="340" t="str">
        <f t="shared" si="36"/>
        <v/>
      </c>
      <c r="BK20" s="340" t="str">
        <f t="shared" si="37"/>
        <v/>
      </c>
      <c r="BL20" s="340" t="str">
        <f t="shared" si="38"/>
        <v/>
      </c>
      <c r="BM20" s="340" t="str">
        <f t="shared" si="39"/>
        <v/>
      </c>
      <c r="BN20" s="340" t="str">
        <f t="shared" si="40"/>
        <v/>
      </c>
      <c r="BO20" s="340" t="str">
        <f t="shared" si="41"/>
        <v/>
      </c>
      <c r="BP20" s="340" t="str">
        <f t="shared" si="42"/>
        <v/>
      </c>
      <c r="BQ20" s="340">
        <f t="shared" si="43"/>
        <v>18</v>
      </c>
      <c r="BR20" s="340" t="str">
        <f t="shared" si="44"/>
        <v/>
      </c>
      <c r="BS20" s="340" t="str">
        <f t="shared" si="45"/>
        <v/>
      </c>
      <c r="BT20" s="341" t="str">
        <f t="shared" si="46"/>
        <v/>
      </c>
      <c r="BU20" s="324"/>
    </row>
    <row r="21" spans="1:73" s="342" customFormat="1">
      <c r="A21" s="324"/>
      <c r="B21" s="324"/>
      <c r="C21" s="570" t="s">
        <v>571</v>
      </c>
      <c r="D21" s="572">
        <v>11</v>
      </c>
      <c r="E21" s="572">
        <v>8.4629999999999992</v>
      </c>
      <c r="F21" s="327">
        <f t="shared" si="0"/>
        <v>2.5370000000000008</v>
      </c>
      <c r="G21" s="570" t="s">
        <v>568</v>
      </c>
      <c r="H21" s="572">
        <v>10.8</v>
      </c>
      <c r="I21" s="572">
        <v>8.4149999999999991</v>
      </c>
      <c r="J21" s="327">
        <f t="shared" si="1"/>
        <v>2.3850000000000016</v>
      </c>
      <c r="K21" s="343">
        <f t="shared" si="2"/>
        <v>2.5</v>
      </c>
      <c r="L21" s="570">
        <v>19</v>
      </c>
      <c r="M21" s="570">
        <v>900</v>
      </c>
      <c r="N21" s="345">
        <f t="shared" si="3"/>
        <v>0</v>
      </c>
      <c r="O21" s="345">
        <v>0</v>
      </c>
      <c r="P21" s="346">
        <f t="shared" si="4"/>
        <v>0</v>
      </c>
      <c r="Q21" s="332" t="str">
        <f t="shared" si="5"/>
        <v/>
      </c>
      <c r="R21" s="332" t="str">
        <f t="shared" si="6"/>
        <v/>
      </c>
      <c r="S21" s="333" t="str">
        <f t="shared" si="7"/>
        <v/>
      </c>
      <c r="T21" s="333" t="str">
        <f t="shared" si="8"/>
        <v/>
      </c>
      <c r="U21" s="333" t="str">
        <f t="shared" si="9"/>
        <v/>
      </c>
      <c r="V21" s="333" t="str">
        <f t="shared" si="10"/>
        <v/>
      </c>
      <c r="W21" s="333" t="str">
        <f t="shared" si="11"/>
        <v/>
      </c>
      <c r="X21" s="333" t="str">
        <f t="shared" si="12"/>
        <v/>
      </c>
      <c r="Y21" s="333" t="str">
        <f t="shared" si="13"/>
        <v/>
      </c>
      <c r="Z21" s="333">
        <f t="shared" si="14"/>
        <v>0</v>
      </c>
      <c r="AA21" s="333" t="str">
        <f t="shared" si="15"/>
        <v/>
      </c>
      <c r="AB21" s="333" t="str">
        <f t="shared" si="16"/>
        <v/>
      </c>
      <c r="AC21" s="334" t="str">
        <f t="shared" si="47"/>
        <v/>
      </c>
      <c r="AD21" s="335"/>
      <c r="AE21" s="336">
        <f t="shared" si="18"/>
        <v>12.081150000000001</v>
      </c>
      <c r="AF21" s="337">
        <f t="shared" si="19"/>
        <v>52.582500000000003</v>
      </c>
      <c r="AG21" s="338">
        <f t="shared" si="20"/>
        <v>19.878750000000004</v>
      </c>
      <c r="AH21" s="339">
        <v>0</v>
      </c>
      <c r="AI21" s="340">
        <v>0</v>
      </c>
      <c r="AJ21" s="340">
        <v>0</v>
      </c>
      <c r="AK21" s="340">
        <v>0</v>
      </c>
      <c r="AL21" s="340">
        <v>0</v>
      </c>
      <c r="AM21" s="340">
        <v>0</v>
      </c>
      <c r="AN21" s="340">
        <v>0</v>
      </c>
      <c r="AO21" s="340">
        <v>0</v>
      </c>
      <c r="AP21" s="340">
        <v>0</v>
      </c>
      <c r="AQ21" s="340">
        <v>0</v>
      </c>
      <c r="AR21" s="340">
        <v>0</v>
      </c>
      <c r="AS21" s="340">
        <v>0</v>
      </c>
      <c r="AT21" s="341">
        <v>0</v>
      </c>
      <c r="AU21" s="339">
        <f t="shared" si="21"/>
        <v>0</v>
      </c>
      <c r="AV21" s="340">
        <f t="shared" si="22"/>
        <v>0</v>
      </c>
      <c r="AW21" s="340">
        <f t="shared" si="23"/>
        <v>0</v>
      </c>
      <c r="AX21" s="340">
        <f t="shared" si="24"/>
        <v>0</v>
      </c>
      <c r="AY21" s="340">
        <f t="shared" si="25"/>
        <v>0</v>
      </c>
      <c r="AZ21" s="340">
        <f t="shared" si="26"/>
        <v>0</v>
      </c>
      <c r="BA21" s="340">
        <f t="shared" si="27"/>
        <v>0</v>
      </c>
      <c r="BB21" s="340">
        <f t="shared" si="28"/>
        <v>0</v>
      </c>
      <c r="BC21" s="340">
        <f t="shared" si="29"/>
        <v>0</v>
      </c>
      <c r="BD21" s="340">
        <f t="shared" si="30"/>
        <v>0</v>
      </c>
      <c r="BE21" s="340">
        <f t="shared" si="31"/>
        <v>0</v>
      </c>
      <c r="BF21" s="340">
        <f t="shared" si="32"/>
        <v>0</v>
      </c>
      <c r="BG21" s="340">
        <f t="shared" si="33"/>
        <v>0</v>
      </c>
      <c r="BH21" s="339" t="str">
        <f t="shared" si="34"/>
        <v/>
      </c>
      <c r="BI21" s="340" t="str">
        <f t="shared" si="35"/>
        <v/>
      </c>
      <c r="BJ21" s="340" t="str">
        <f t="shared" si="36"/>
        <v/>
      </c>
      <c r="BK21" s="340" t="str">
        <f t="shared" si="37"/>
        <v/>
      </c>
      <c r="BL21" s="340" t="str">
        <f t="shared" si="38"/>
        <v/>
      </c>
      <c r="BM21" s="340" t="str">
        <f t="shared" si="39"/>
        <v/>
      </c>
      <c r="BN21" s="340" t="str">
        <f t="shared" si="40"/>
        <v/>
      </c>
      <c r="BO21" s="340" t="str">
        <f t="shared" si="41"/>
        <v/>
      </c>
      <c r="BP21" s="340" t="str">
        <f t="shared" si="42"/>
        <v/>
      </c>
      <c r="BQ21" s="340">
        <f t="shared" si="43"/>
        <v>19</v>
      </c>
      <c r="BR21" s="340" t="str">
        <f t="shared" si="44"/>
        <v/>
      </c>
      <c r="BS21" s="340" t="str">
        <f t="shared" si="45"/>
        <v/>
      </c>
      <c r="BT21" s="341" t="str">
        <f t="shared" si="46"/>
        <v/>
      </c>
      <c r="BU21" s="324"/>
    </row>
    <row r="22" spans="1:73" s="342" customFormat="1">
      <c r="A22" s="324"/>
      <c r="B22" s="324"/>
      <c r="C22" s="570"/>
      <c r="D22" s="572"/>
      <c r="E22" s="572"/>
      <c r="F22" s="327">
        <f t="shared" si="0"/>
        <v>0</v>
      </c>
      <c r="G22" s="570"/>
      <c r="H22" s="572"/>
      <c r="I22" s="572"/>
      <c r="J22" s="327">
        <f t="shared" si="1"/>
        <v>0</v>
      </c>
      <c r="K22" s="343">
        <f t="shared" si="2"/>
        <v>0</v>
      </c>
      <c r="L22" s="570"/>
      <c r="M22" s="570"/>
      <c r="N22" s="345">
        <f t="shared" si="3"/>
        <v>0</v>
      </c>
      <c r="O22" s="345">
        <v>109</v>
      </c>
      <c r="P22" s="346">
        <f t="shared" si="4"/>
        <v>0</v>
      </c>
      <c r="Q22" s="332" t="str">
        <f t="shared" si="5"/>
        <v/>
      </c>
      <c r="R22" s="332" t="str">
        <f t="shared" si="6"/>
        <v/>
      </c>
      <c r="S22" s="333" t="str">
        <f t="shared" si="7"/>
        <v/>
      </c>
      <c r="T22" s="333" t="str">
        <f t="shared" si="8"/>
        <v/>
      </c>
      <c r="U22" s="333" t="str">
        <f t="shared" si="9"/>
        <v/>
      </c>
      <c r="V22" s="333" t="str">
        <f t="shared" si="10"/>
        <v/>
      </c>
      <c r="W22" s="333" t="str">
        <f t="shared" si="11"/>
        <v/>
      </c>
      <c r="X22" s="333" t="str">
        <f t="shared" si="12"/>
        <v/>
      </c>
      <c r="Y22" s="333" t="str">
        <f t="shared" si="13"/>
        <v/>
      </c>
      <c r="Z22" s="333" t="str">
        <f t="shared" si="14"/>
        <v/>
      </c>
      <c r="AA22" s="333" t="str">
        <f t="shared" si="15"/>
        <v/>
      </c>
      <c r="AB22" s="333" t="str">
        <f t="shared" si="16"/>
        <v/>
      </c>
      <c r="AC22" s="334" t="str">
        <f t="shared" si="47"/>
        <v/>
      </c>
      <c r="AD22" s="335"/>
      <c r="AE22" s="336">
        <f t="shared" si="18"/>
        <v>0</v>
      </c>
      <c r="AF22" s="337">
        <f t="shared" si="19"/>
        <v>0</v>
      </c>
      <c r="AG22" s="338">
        <f t="shared" si="20"/>
        <v>0</v>
      </c>
      <c r="AH22" s="339">
        <v>394</v>
      </c>
      <c r="AI22" s="340">
        <v>416</v>
      </c>
      <c r="AJ22" s="340">
        <v>0</v>
      </c>
      <c r="AK22" s="340">
        <v>0</v>
      </c>
      <c r="AL22" s="340">
        <v>0</v>
      </c>
      <c r="AM22" s="340">
        <v>0</v>
      </c>
      <c r="AN22" s="340">
        <v>488</v>
      </c>
      <c r="AO22" s="340">
        <v>506</v>
      </c>
      <c r="AP22" s="340">
        <v>550</v>
      </c>
      <c r="AQ22" s="340">
        <v>630</v>
      </c>
      <c r="AR22" s="340">
        <v>680</v>
      </c>
      <c r="AS22" s="340">
        <v>789</v>
      </c>
      <c r="AT22" s="341">
        <v>849</v>
      </c>
      <c r="AU22" s="339">
        <f t="shared" si="21"/>
        <v>0</v>
      </c>
      <c r="AV22" s="340">
        <f t="shared" si="22"/>
        <v>0</v>
      </c>
      <c r="AW22" s="340">
        <f t="shared" si="23"/>
        <v>0</v>
      </c>
      <c r="AX22" s="340">
        <f t="shared" si="24"/>
        <v>0</v>
      </c>
      <c r="AY22" s="340">
        <f t="shared" si="25"/>
        <v>0</v>
      </c>
      <c r="AZ22" s="340">
        <f t="shared" si="26"/>
        <v>0</v>
      </c>
      <c r="BA22" s="340">
        <f t="shared" si="27"/>
        <v>0</v>
      </c>
      <c r="BB22" s="340">
        <f t="shared" si="28"/>
        <v>0</v>
      </c>
      <c r="BC22" s="340">
        <f t="shared" si="29"/>
        <v>0</v>
      </c>
      <c r="BD22" s="340">
        <f t="shared" si="30"/>
        <v>0</v>
      </c>
      <c r="BE22" s="340">
        <f t="shared" si="31"/>
        <v>0</v>
      </c>
      <c r="BF22" s="340">
        <f t="shared" si="32"/>
        <v>0</v>
      </c>
      <c r="BG22" s="340">
        <f t="shared" si="33"/>
        <v>0</v>
      </c>
      <c r="BH22" s="339" t="str">
        <f t="shared" si="34"/>
        <v/>
      </c>
      <c r="BI22" s="340" t="str">
        <f t="shared" si="35"/>
        <v/>
      </c>
      <c r="BJ22" s="340" t="str">
        <f t="shared" si="36"/>
        <v/>
      </c>
      <c r="BK22" s="340" t="str">
        <f t="shared" si="37"/>
        <v/>
      </c>
      <c r="BL22" s="340" t="str">
        <f t="shared" si="38"/>
        <v/>
      </c>
      <c r="BM22" s="340" t="str">
        <f t="shared" si="39"/>
        <v/>
      </c>
      <c r="BN22" s="340" t="str">
        <f t="shared" si="40"/>
        <v/>
      </c>
      <c r="BO22" s="340" t="str">
        <f t="shared" si="41"/>
        <v/>
      </c>
      <c r="BP22" s="340" t="str">
        <f t="shared" si="42"/>
        <v/>
      </c>
      <c r="BQ22" s="340" t="str">
        <f t="shared" si="43"/>
        <v/>
      </c>
      <c r="BR22" s="340" t="str">
        <f t="shared" si="44"/>
        <v/>
      </c>
      <c r="BS22" s="340" t="str">
        <f t="shared" si="45"/>
        <v/>
      </c>
      <c r="BT22" s="341" t="str">
        <f t="shared" si="46"/>
        <v/>
      </c>
      <c r="BU22" s="324"/>
    </row>
    <row r="23" spans="1:73" s="342" customFormat="1">
      <c r="A23" s="324"/>
      <c r="B23" s="324"/>
      <c r="C23" s="570" t="s">
        <v>570</v>
      </c>
      <c r="D23" s="572">
        <v>11.3</v>
      </c>
      <c r="E23" s="572">
        <v>9.4</v>
      </c>
      <c r="F23" s="327">
        <f t="shared" si="0"/>
        <v>1.9000000000000004</v>
      </c>
      <c r="G23" s="570" t="s">
        <v>569</v>
      </c>
      <c r="H23" s="572">
        <v>11</v>
      </c>
      <c r="I23" s="572">
        <v>9.2029999999999994</v>
      </c>
      <c r="J23" s="327">
        <f t="shared" si="1"/>
        <v>1.7970000000000006</v>
      </c>
      <c r="K23" s="343">
        <f t="shared" si="2"/>
        <v>2</v>
      </c>
      <c r="L23" s="570">
        <v>33</v>
      </c>
      <c r="M23" s="570">
        <v>300</v>
      </c>
      <c r="N23" s="345">
        <f t="shared" si="3"/>
        <v>0</v>
      </c>
      <c r="O23" s="345">
        <v>109</v>
      </c>
      <c r="P23" s="346">
        <f t="shared" si="4"/>
        <v>0</v>
      </c>
      <c r="Q23" s="332" t="str">
        <f t="shared" si="5"/>
        <v/>
      </c>
      <c r="R23" s="332" t="str">
        <f t="shared" si="6"/>
        <v/>
      </c>
      <c r="S23" s="333">
        <f t="shared" si="7"/>
        <v>0</v>
      </c>
      <c r="T23" s="333" t="str">
        <f t="shared" si="8"/>
        <v/>
      </c>
      <c r="U23" s="333" t="str">
        <f t="shared" si="9"/>
        <v/>
      </c>
      <c r="V23" s="333" t="str">
        <f t="shared" si="10"/>
        <v/>
      </c>
      <c r="W23" s="333" t="str">
        <f t="shared" si="11"/>
        <v/>
      </c>
      <c r="X23" s="333" t="str">
        <f t="shared" si="12"/>
        <v/>
      </c>
      <c r="Y23" s="333" t="str">
        <f t="shared" si="13"/>
        <v/>
      </c>
      <c r="Z23" s="333" t="str">
        <f t="shared" si="14"/>
        <v/>
      </c>
      <c r="AA23" s="333" t="str">
        <f t="shared" si="15"/>
        <v/>
      </c>
      <c r="AB23" s="333" t="str">
        <f t="shared" si="16"/>
        <v/>
      </c>
      <c r="AC23" s="334" t="str">
        <f t="shared" si="47"/>
        <v/>
      </c>
      <c r="AD23" s="335"/>
      <c r="AE23" s="336">
        <f t="shared" si="18"/>
        <v>2.3314500000000002</v>
      </c>
      <c r="AF23" s="337">
        <f t="shared" si="19"/>
        <v>38.362500000000004</v>
      </c>
      <c r="AG23" s="338">
        <f t="shared" si="20"/>
        <v>34.526250000000005</v>
      </c>
      <c r="AH23" s="339">
        <v>364</v>
      </c>
      <c r="AI23" s="340">
        <v>386</v>
      </c>
      <c r="AJ23" s="340">
        <v>0</v>
      </c>
      <c r="AK23" s="340">
        <v>0</v>
      </c>
      <c r="AL23" s="340">
        <v>0</v>
      </c>
      <c r="AM23" s="340">
        <v>0</v>
      </c>
      <c r="AN23" s="340">
        <v>454</v>
      </c>
      <c r="AO23" s="340">
        <v>472</v>
      </c>
      <c r="AP23" s="340">
        <v>516</v>
      </c>
      <c r="AQ23" s="340">
        <v>596</v>
      </c>
      <c r="AR23" s="340">
        <v>646</v>
      </c>
      <c r="AS23" s="340">
        <v>755</v>
      </c>
      <c r="AT23" s="341">
        <v>815</v>
      </c>
      <c r="AU23" s="339">
        <f t="shared" si="21"/>
        <v>0</v>
      </c>
      <c r="AV23" s="340">
        <f t="shared" si="22"/>
        <v>0</v>
      </c>
      <c r="AW23" s="340">
        <f t="shared" si="23"/>
        <v>0</v>
      </c>
      <c r="AX23" s="340">
        <f t="shared" si="24"/>
        <v>0</v>
      </c>
      <c r="AY23" s="340">
        <f t="shared" si="25"/>
        <v>0</v>
      </c>
      <c r="AZ23" s="340">
        <f t="shared" si="26"/>
        <v>0</v>
      </c>
      <c r="BA23" s="340">
        <f t="shared" si="27"/>
        <v>0</v>
      </c>
      <c r="BB23" s="340">
        <f t="shared" si="28"/>
        <v>0</v>
      </c>
      <c r="BC23" s="340">
        <f t="shared" si="29"/>
        <v>0</v>
      </c>
      <c r="BD23" s="340">
        <f t="shared" si="30"/>
        <v>0</v>
      </c>
      <c r="BE23" s="340">
        <f t="shared" si="31"/>
        <v>0</v>
      </c>
      <c r="BF23" s="340">
        <f t="shared" si="32"/>
        <v>0</v>
      </c>
      <c r="BG23" s="340">
        <f t="shared" si="33"/>
        <v>0</v>
      </c>
      <c r="BH23" s="339" t="str">
        <f t="shared" si="34"/>
        <v/>
      </c>
      <c r="BI23" s="340" t="str">
        <f t="shared" si="35"/>
        <v/>
      </c>
      <c r="BJ23" s="340">
        <f t="shared" si="36"/>
        <v>33</v>
      </c>
      <c r="BK23" s="340" t="str">
        <f t="shared" si="37"/>
        <v/>
      </c>
      <c r="BL23" s="340" t="str">
        <f t="shared" si="38"/>
        <v/>
      </c>
      <c r="BM23" s="340" t="str">
        <f t="shared" si="39"/>
        <v/>
      </c>
      <c r="BN23" s="340" t="str">
        <f t="shared" si="40"/>
        <v/>
      </c>
      <c r="BO23" s="340" t="str">
        <f t="shared" si="41"/>
        <v/>
      </c>
      <c r="BP23" s="340" t="str">
        <f t="shared" si="42"/>
        <v/>
      </c>
      <c r="BQ23" s="340" t="str">
        <f t="shared" si="43"/>
        <v/>
      </c>
      <c r="BR23" s="340" t="str">
        <f t="shared" si="44"/>
        <v/>
      </c>
      <c r="BS23" s="340" t="str">
        <f t="shared" si="45"/>
        <v/>
      </c>
      <c r="BT23" s="341" t="str">
        <f t="shared" si="46"/>
        <v/>
      </c>
      <c r="BU23" s="324"/>
    </row>
    <row r="24" spans="1:73" s="342" customFormat="1">
      <c r="A24" s="324"/>
      <c r="B24" s="324"/>
      <c r="C24" s="570" t="s">
        <v>569</v>
      </c>
      <c r="D24" s="572">
        <v>11</v>
      </c>
      <c r="E24" s="572">
        <v>9.2029999999999994</v>
      </c>
      <c r="F24" s="327">
        <f t="shared" si="0"/>
        <v>1.7970000000000006</v>
      </c>
      <c r="G24" s="570" t="s">
        <v>568</v>
      </c>
      <c r="H24" s="572">
        <v>10.8</v>
      </c>
      <c r="I24" s="572">
        <v>8.4149999999999991</v>
      </c>
      <c r="J24" s="327">
        <f t="shared" si="1"/>
        <v>2.3850000000000016</v>
      </c>
      <c r="K24" s="343">
        <f t="shared" si="2"/>
        <v>2.25</v>
      </c>
      <c r="L24" s="570">
        <v>32</v>
      </c>
      <c r="M24" s="570">
        <v>300</v>
      </c>
      <c r="N24" s="345">
        <f t="shared" si="3"/>
        <v>371</v>
      </c>
      <c r="O24" s="345">
        <v>109</v>
      </c>
      <c r="P24" s="346">
        <f t="shared" si="4"/>
        <v>262</v>
      </c>
      <c r="Q24" s="332" t="str">
        <f t="shared" si="5"/>
        <v/>
      </c>
      <c r="R24" s="332" t="str">
        <f t="shared" si="6"/>
        <v/>
      </c>
      <c r="S24" s="333">
        <f t="shared" si="7"/>
        <v>8384</v>
      </c>
      <c r="T24" s="333" t="str">
        <f t="shared" si="8"/>
        <v/>
      </c>
      <c r="U24" s="333" t="str">
        <f t="shared" si="9"/>
        <v/>
      </c>
      <c r="V24" s="333" t="str">
        <f t="shared" si="10"/>
        <v/>
      </c>
      <c r="W24" s="333" t="str">
        <f t="shared" si="11"/>
        <v/>
      </c>
      <c r="X24" s="333" t="str">
        <f t="shared" si="12"/>
        <v/>
      </c>
      <c r="Y24" s="333" t="str">
        <f t="shared" si="13"/>
        <v/>
      </c>
      <c r="Z24" s="333" t="str">
        <f t="shared" si="14"/>
        <v/>
      </c>
      <c r="AA24" s="333" t="str">
        <f t="shared" si="15"/>
        <v/>
      </c>
      <c r="AB24" s="333" t="str">
        <f t="shared" si="16"/>
        <v/>
      </c>
      <c r="AC24" s="334" t="str">
        <f t="shared" si="47"/>
        <v/>
      </c>
      <c r="AD24" s="335"/>
      <c r="AE24" s="336">
        <f t="shared" si="18"/>
        <v>2.2608000000000001</v>
      </c>
      <c r="AF24" s="337">
        <f t="shared" si="19"/>
        <v>43.2</v>
      </c>
      <c r="AG24" s="338">
        <f t="shared" si="20"/>
        <v>33.480000000000004</v>
      </c>
      <c r="AH24" s="339">
        <v>269</v>
      </c>
      <c r="AI24" s="340">
        <v>341</v>
      </c>
      <c r="AJ24" s="340">
        <v>371</v>
      </c>
      <c r="AK24" s="340">
        <v>403</v>
      </c>
      <c r="AL24" s="340">
        <v>401</v>
      </c>
      <c r="AM24" s="340">
        <v>404</v>
      </c>
      <c r="AN24" s="340">
        <v>403</v>
      </c>
      <c r="AO24" s="340">
        <v>421</v>
      </c>
      <c r="AP24" s="340">
        <v>465</v>
      </c>
      <c r="AQ24" s="340">
        <v>545</v>
      </c>
      <c r="AR24" s="340">
        <v>595</v>
      </c>
      <c r="AS24" s="340">
        <v>704</v>
      </c>
      <c r="AT24" s="341">
        <v>764</v>
      </c>
      <c r="AU24" s="339">
        <f t="shared" si="21"/>
        <v>0</v>
      </c>
      <c r="AV24" s="340">
        <f t="shared" si="22"/>
        <v>0</v>
      </c>
      <c r="AW24" s="340">
        <f t="shared" si="23"/>
        <v>371</v>
      </c>
      <c r="AX24" s="340">
        <f t="shared" si="24"/>
        <v>0</v>
      </c>
      <c r="AY24" s="340">
        <f t="shared" si="25"/>
        <v>0</v>
      </c>
      <c r="AZ24" s="340">
        <f t="shared" si="26"/>
        <v>0</v>
      </c>
      <c r="BA24" s="340">
        <f t="shared" si="27"/>
        <v>0</v>
      </c>
      <c r="BB24" s="340">
        <f t="shared" si="28"/>
        <v>0</v>
      </c>
      <c r="BC24" s="340">
        <f t="shared" si="29"/>
        <v>0</v>
      </c>
      <c r="BD24" s="340">
        <f t="shared" si="30"/>
        <v>0</v>
      </c>
      <c r="BE24" s="340">
        <f t="shared" si="31"/>
        <v>0</v>
      </c>
      <c r="BF24" s="340">
        <f t="shared" si="32"/>
        <v>0</v>
      </c>
      <c r="BG24" s="340">
        <f t="shared" si="33"/>
        <v>0</v>
      </c>
      <c r="BH24" s="339" t="str">
        <f t="shared" si="34"/>
        <v/>
      </c>
      <c r="BI24" s="340" t="str">
        <f t="shared" si="35"/>
        <v/>
      </c>
      <c r="BJ24" s="340">
        <f t="shared" si="36"/>
        <v>32</v>
      </c>
      <c r="BK24" s="340" t="str">
        <f t="shared" si="37"/>
        <v/>
      </c>
      <c r="BL24" s="340" t="str">
        <f t="shared" si="38"/>
        <v/>
      </c>
      <c r="BM24" s="340" t="str">
        <f t="shared" si="39"/>
        <v/>
      </c>
      <c r="BN24" s="340" t="str">
        <f t="shared" si="40"/>
        <v/>
      </c>
      <c r="BO24" s="340" t="str">
        <f t="shared" si="41"/>
        <v/>
      </c>
      <c r="BP24" s="340" t="str">
        <f t="shared" si="42"/>
        <v/>
      </c>
      <c r="BQ24" s="340" t="str">
        <f t="shared" si="43"/>
        <v/>
      </c>
      <c r="BR24" s="340" t="str">
        <f t="shared" si="44"/>
        <v/>
      </c>
      <c r="BS24" s="340" t="str">
        <f t="shared" si="45"/>
        <v/>
      </c>
      <c r="BT24" s="341" t="str">
        <f t="shared" si="46"/>
        <v/>
      </c>
      <c r="BU24" s="324"/>
    </row>
    <row r="25" spans="1:73" s="342" customFormat="1">
      <c r="A25" s="324"/>
      <c r="B25" s="324"/>
      <c r="C25" s="570"/>
      <c r="D25" s="572"/>
      <c r="E25" s="572"/>
      <c r="F25" s="327">
        <f t="shared" si="0"/>
        <v>0</v>
      </c>
      <c r="G25" s="570"/>
      <c r="H25" s="572"/>
      <c r="I25" s="572"/>
      <c r="J25" s="327">
        <f t="shared" si="1"/>
        <v>0</v>
      </c>
      <c r="K25" s="343">
        <f t="shared" si="2"/>
        <v>0</v>
      </c>
      <c r="L25" s="570"/>
      <c r="M25" s="570"/>
      <c r="N25" s="345">
        <f t="shared" si="3"/>
        <v>0</v>
      </c>
      <c r="O25" s="345">
        <v>109</v>
      </c>
      <c r="P25" s="346">
        <f t="shared" si="4"/>
        <v>0</v>
      </c>
      <c r="Q25" s="332" t="str">
        <f t="shared" si="5"/>
        <v/>
      </c>
      <c r="R25" s="332" t="str">
        <f t="shared" si="6"/>
        <v/>
      </c>
      <c r="S25" s="333" t="str">
        <f t="shared" si="7"/>
        <v/>
      </c>
      <c r="T25" s="333" t="str">
        <f t="shared" si="8"/>
        <v/>
      </c>
      <c r="U25" s="333" t="str">
        <f t="shared" si="9"/>
        <v/>
      </c>
      <c r="V25" s="333" t="str">
        <f t="shared" si="10"/>
        <v/>
      </c>
      <c r="W25" s="333" t="str">
        <f t="shared" si="11"/>
        <v/>
      </c>
      <c r="X25" s="333" t="str">
        <f t="shared" si="12"/>
        <v/>
      </c>
      <c r="Y25" s="333" t="str">
        <f t="shared" si="13"/>
        <v/>
      </c>
      <c r="Z25" s="333" t="str">
        <f t="shared" si="14"/>
        <v/>
      </c>
      <c r="AA25" s="333" t="str">
        <f t="shared" si="15"/>
        <v/>
      </c>
      <c r="AB25" s="333" t="str">
        <f t="shared" si="16"/>
        <v/>
      </c>
      <c r="AC25" s="334" t="str">
        <f t="shared" si="47"/>
        <v/>
      </c>
      <c r="AD25" s="335"/>
      <c r="AE25" s="336">
        <f t="shared" si="18"/>
        <v>0</v>
      </c>
      <c r="AF25" s="337">
        <f t="shared" si="19"/>
        <v>0</v>
      </c>
      <c r="AG25" s="338">
        <f t="shared" si="20"/>
        <v>0</v>
      </c>
      <c r="AH25" s="339">
        <v>234</v>
      </c>
      <c r="AI25" s="340">
        <v>270</v>
      </c>
      <c r="AJ25" s="340">
        <v>291</v>
      </c>
      <c r="AK25" s="340">
        <v>316</v>
      </c>
      <c r="AL25" s="340">
        <v>321</v>
      </c>
      <c r="AM25" s="340">
        <v>305</v>
      </c>
      <c r="AN25" s="340">
        <v>335</v>
      </c>
      <c r="AO25" s="340">
        <v>353</v>
      </c>
      <c r="AP25" s="340">
        <v>399</v>
      </c>
      <c r="AQ25" s="340">
        <v>479</v>
      </c>
      <c r="AR25" s="340">
        <v>529</v>
      </c>
      <c r="AS25" s="340">
        <v>626</v>
      </c>
      <c r="AT25" s="341">
        <v>686</v>
      </c>
      <c r="AU25" s="339">
        <f t="shared" si="21"/>
        <v>0</v>
      </c>
      <c r="AV25" s="340">
        <f t="shared" si="22"/>
        <v>0</v>
      </c>
      <c r="AW25" s="340">
        <f t="shared" si="23"/>
        <v>0</v>
      </c>
      <c r="AX25" s="340">
        <f t="shared" si="24"/>
        <v>0</v>
      </c>
      <c r="AY25" s="340">
        <f t="shared" si="25"/>
        <v>0</v>
      </c>
      <c r="AZ25" s="340">
        <f t="shared" si="26"/>
        <v>0</v>
      </c>
      <c r="BA25" s="340">
        <f t="shared" si="27"/>
        <v>0</v>
      </c>
      <c r="BB25" s="340">
        <f t="shared" si="28"/>
        <v>0</v>
      </c>
      <c r="BC25" s="340">
        <f t="shared" si="29"/>
        <v>0</v>
      </c>
      <c r="BD25" s="340">
        <f t="shared" si="30"/>
        <v>0</v>
      </c>
      <c r="BE25" s="340">
        <f t="shared" si="31"/>
        <v>0</v>
      </c>
      <c r="BF25" s="340">
        <f t="shared" si="32"/>
        <v>0</v>
      </c>
      <c r="BG25" s="340">
        <f t="shared" si="33"/>
        <v>0</v>
      </c>
      <c r="BH25" s="339" t="str">
        <f t="shared" si="34"/>
        <v/>
      </c>
      <c r="BI25" s="340" t="str">
        <f t="shared" si="35"/>
        <v/>
      </c>
      <c r="BJ25" s="340" t="str">
        <f t="shared" si="36"/>
        <v/>
      </c>
      <c r="BK25" s="340" t="str">
        <f t="shared" si="37"/>
        <v/>
      </c>
      <c r="BL25" s="340" t="str">
        <f t="shared" si="38"/>
        <v/>
      </c>
      <c r="BM25" s="340" t="str">
        <f t="shared" si="39"/>
        <v/>
      </c>
      <c r="BN25" s="340" t="str">
        <f t="shared" si="40"/>
        <v/>
      </c>
      <c r="BO25" s="340" t="str">
        <f t="shared" si="41"/>
        <v/>
      </c>
      <c r="BP25" s="340" t="str">
        <f t="shared" si="42"/>
        <v/>
      </c>
      <c r="BQ25" s="340" t="str">
        <f t="shared" si="43"/>
        <v/>
      </c>
      <c r="BR25" s="340" t="str">
        <f t="shared" si="44"/>
        <v/>
      </c>
      <c r="BS25" s="340" t="str">
        <f t="shared" si="45"/>
        <v/>
      </c>
      <c r="BT25" s="341" t="str">
        <f t="shared" si="46"/>
        <v/>
      </c>
      <c r="BU25" s="324"/>
    </row>
    <row r="26" spans="1:73" s="342" customFormat="1">
      <c r="A26" s="324"/>
      <c r="B26" s="324"/>
      <c r="C26" s="570" t="s">
        <v>568</v>
      </c>
      <c r="D26" s="572">
        <v>10.8</v>
      </c>
      <c r="E26" s="572">
        <v>8.4149999999999991</v>
      </c>
      <c r="F26" s="327">
        <f t="shared" si="0"/>
        <v>2.3850000000000016</v>
      </c>
      <c r="G26" s="570" t="s">
        <v>567</v>
      </c>
      <c r="H26" s="572">
        <v>10.95</v>
      </c>
      <c r="I26" s="572">
        <v>8.31</v>
      </c>
      <c r="J26" s="327">
        <f t="shared" si="1"/>
        <v>2.6399999999999988</v>
      </c>
      <c r="K26" s="343">
        <f t="shared" si="2"/>
        <v>2.75</v>
      </c>
      <c r="L26" s="570">
        <v>42</v>
      </c>
      <c r="M26" s="570">
        <v>900</v>
      </c>
      <c r="N26" s="345">
        <f t="shared" si="3"/>
        <v>397</v>
      </c>
      <c r="O26" s="345">
        <v>109</v>
      </c>
      <c r="P26" s="346">
        <f t="shared" si="4"/>
        <v>288</v>
      </c>
      <c r="Q26" s="332" t="str">
        <f t="shared" si="5"/>
        <v/>
      </c>
      <c r="R26" s="332" t="str">
        <f t="shared" si="6"/>
        <v/>
      </c>
      <c r="S26" s="333" t="str">
        <f t="shared" si="7"/>
        <v/>
      </c>
      <c r="T26" s="333" t="str">
        <f t="shared" si="8"/>
        <v/>
      </c>
      <c r="U26" s="333" t="str">
        <f t="shared" si="9"/>
        <v/>
      </c>
      <c r="V26" s="333" t="str">
        <f t="shared" si="10"/>
        <v/>
      </c>
      <c r="W26" s="333" t="str">
        <f t="shared" si="11"/>
        <v/>
      </c>
      <c r="X26" s="333" t="str">
        <f t="shared" si="12"/>
        <v/>
      </c>
      <c r="Y26" s="333" t="str">
        <f t="shared" si="13"/>
        <v/>
      </c>
      <c r="Z26" s="333">
        <f t="shared" si="14"/>
        <v>12096</v>
      </c>
      <c r="AA26" s="333" t="str">
        <f t="shared" si="15"/>
        <v/>
      </c>
      <c r="AB26" s="333" t="str">
        <f t="shared" si="16"/>
        <v/>
      </c>
      <c r="AC26" s="334" t="str">
        <f t="shared" si="47"/>
        <v/>
      </c>
      <c r="AD26" s="335"/>
      <c r="AE26" s="336">
        <f t="shared" si="18"/>
        <v>26.7057</v>
      </c>
      <c r="AF26" s="337">
        <f t="shared" si="19"/>
        <v>130.41</v>
      </c>
      <c r="AG26" s="338">
        <f t="shared" si="20"/>
        <v>43.942500000000003</v>
      </c>
      <c r="AH26" s="339">
        <v>165</v>
      </c>
      <c r="AI26" s="340">
        <v>195</v>
      </c>
      <c r="AJ26" s="340">
        <v>219</v>
      </c>
      <c r="AK26" s="340">
        <v>225</v>
      </c>
      <c r="AL26" s="340">
        <v>247</v>
      </c>
      <c r="AM26" s="340">
        <v>242</v>
      </c>
      <c r="AN26" s="340">
        <v>267</v>
      </c>
      <c r="AO26" s="340">
        <v>285</v>
      </c>
      <c r="AP26" s="340">
        <v>317</v>
      </c>
      <c r="AQ26" s="340">
        <v>397</v>
      </c>
      <c r="AR26" s="340">
        <v>447</v>
      </c>
      <c r="AS26" s="340">
        <v>560</v>
      </c>
      <c r="AT26" s="341">
        <v>620</v>
      </c>
      <c r="AU26" s="339">
        <f t="shared" si="21"/>
        <v>0</v>
      </c>
      <c r="AV26" s="340">
        <f t="shared" si="22"/>
        <v>0</v>
      </c>
      <c r="AW26" s="340">
        <f t="shared" si="23"/>
        <v>0</v>
      </c>
      <c r="AX26" s="340">
        <f t="shared" si="24"/>
        <v>0</v>
      </c>
      <c r="AY26" s="340">
        <f t="shared" si="25"/>
        <v>0</v>
      </c>
      <c r="AZ26" s="340">
        <f t="shared" si="26"/>
        <v>0</v>
      </c>
      <c r="BA26" s="340">
        <f t="shared" si="27"/>
        <v>0</v>
      </c>
      <c r="BB26" s="340">
        <f t="shared" si="28"/>
        <v>0</v>
      </c>
      <c r="BC26" s="340">
        <f t="shared" si="29"/>
        <v>0</v>
      </c>
      <c r="BD26" s="340">
        <f t="shared" si="30"/>
        <v>397</v>
      </c>
      <c r="BE26" s="340">
        <f t="shared" si="31"/>
        <v>0</v>
      </c>
      <c r="BF26" s="340">
        <f t="shared" si="32"/>
        <v>0</v>
      </c>
      <c r="BG26" s="340">
        <f t="shared" si="33"/>
        <v>0</v>
      </c>
      <c r="BH26" s="339" t="str">
        <f t="shared" si="34"/>
        <v/>
      </c>
      <c r="BI26" s="340" t="str">
        <f t="shared" si="35"/>
        <v/>
      </c>
      <c r="BJ26" s="340" t="str">
        <f t="shared" si="36"/>
        <v/>
      </c>
      <c r="BK26" s="340" t="str">
        <f t="shared" si="37"/>
        <v/>
      </c>
      <c r="BL26" s="340" t="str">
        <f t="shared" si="38"/>
        <v/>
      </c>
      <c r="BM26" s="340" t="str">
        <f t="shared" si="39"/>
        <v/>
      </c>
      <c r="BN26" s="340" t="str">
        <f t="shared" si="40"/>
        <v/>
      </c>
      <c r="BO26" s="340" t="str">
        <f t="shared" si="41"/>
        <v/>
      </c>
      <c r="BP26" s="340" t="str">
        <f t="shared" si="42"/>
        <v/>
      </c>
      <c r="BQ26" s="340">
        <f t="shared" si="43"/>
        <v>42</v>
      </c>
      <c r="BR26" s="340" t="str">
        <f t="shared" si="44"/>
        <v/>
      </c>
      <c r="BS26" s="340" t="str">
        <f t="shared" si="45"/>
        <v/>
      </c>
      <c r="BT26" s="341" t="str">
        <f t="shared" si="46"/>
        <v/>
      </c>
      <c r="BU26" s="324"/>
    </row>
    <row r="27" spans="1:73" s="342" customFormat="1">
      <c r="A27" s="324"/>
      <c r="B27" s="324"/>
      <c r="C27" s="570" t="s">
        <v>567</v>
      </c>
      <c r="D27" s="572">
        <v>10.95</v>
      </c>
      <c r="E27" s="572">
        <v>8.31</v>
      </c>
      <c r="F27" s="327">
        <f t="shared" ref="F27:F68" si="48">D27-E27</f>
        <v>2.6399999999999988</v>
      </c>
      <c r="G27" s="570" t="s">
        <v>564</v>
      </c>
      <c r="H27" s="572">
        <v>11.15</v>
      </c>
      <c r="I27" s="572">
        <v>8.26</v>
      </c>
      <c r="J27" s="327">
        <f t="shared" ref="J27:J68" si="49">H27-I27</f>
        <v>2.8900000000000006</v>
      </c>
      <c r="K27" s="343">
        <f t="shared" ref="K27:K68" si="50">CEILING((F27+J27)/2,0.25)</f>
        <v>3</v>
      </c>
      <c r="L27" s="570">
        <v>20</v>
      </c>
      <c r="M27" s="570">
        <v>900</v>
      </c>
      <c r="N27" s="345">
        <f t="shared" ref="N27:N68" si="51">SUM(AU27:BG27)</f>
        <v>545</v>
      </c>
      <c r="O27" s="345">
        <v>109</v>
      </c>
      <c r="P27" s="346">
        <f t="shared" ref="P27:P68" si="52">IF((N27-O27)&gt;0,N27-O27,0)</f>
        <v>436</v>
      </c>
      <c r="Q27" s="332" t="str">
        <f t="shared" si="5"/>
        <v/>
      </c>
      <c r="R27" s="332" t="str">
        <f t="shared" si="6"/>
        <v/>
      </c>
      <c r="S27" s="333" t="str">
        <f t="shared" si="7"/>
        <v/>
      </c>
      <c r="T27" s="333" t="str">
        <f t="shared" si="8"/>
        <v/>
      </c>
      <c r="U27" s="333" t="str">
        <f t="shared" si="9"/>
        <v/>
      </c>
      <c r="V27" s="333" t="str">
        <f t="shared" si="10"/>
        <v/>
      </c>
      <c r="W27" s="333" t="str">
        <f t="shared" si="11"/>
        <v/>
      </c>
      <c r="X27" s="333" t="str">
        <f t="shared" si="12"/>
        <v/>
      </c>
      <c r="Y27" s="333" t="str">
        <f t="shared" si="13"/>
        <v/>
      </c>
      <c r="Z27" s="333">
        <f t="shared" si="14"/>
        <v>8720</v>
      </c>
      <c r="AA27" s="333" t="str">
        <f t="shared" si="15"/>
        <v/>
      </c>
      <c r="AB27" s="333" t="str">
        <f t="shared" si="16"/>
        <v/>
      </c>
      <c r="AC27" s="334" t="str">
        <f t="shared" si="47"/>
        <v/>
      </c>
      <c r="AD27" s="335"/>
      <c r="AE27" s="336">
        <f t="shared" ref="AE27:AE68" si="53">L27*((M27/1000/2*M27/1000/2)*3.14)</f>
        <v>12.717000000000001</v>
      </c>
      <c r="AF27" s="337">
        <f t="shared" ref="AF27:AF68" si="54">((M27/1000)+0.225*2)*(K27-0.45)*L27</f>
        <v>68.849999999999994</v>
      </c>
      <c r="AG27" s="338">
        <f t="shared" ref="AG27:AG68" si="55">IF(L27&gt;0,(0.675*(2-0.45)*L27),0)</f>
        <v>20.925000000000004</v>
      </c>
      <c r="AH27" s="339">
        <v>269</v>
      </c>
      <c r="AI27" s="340">
        <v>341</v>
      </c>
      <c r="AJ27" s="340">
        <v>371</v>
      </c>
      <c r="AK27" s="340">
        <v>403</v>
      </c>
      <c r="AL27" s="340">
        <v>401</v>
      </c>
      <c r="AM27" s="340">
        <v>404</v>
      </c>
      <c r="AN27" s="340">
        <v>403</v>
      </c>
      <c r="AO27" s="340">
        <v>421</v>
      </c>
      <c r="AP27" s="340">
        <v>465</v>
      </c>
      <c r="AQ27" s="340">
        <v>545</v>
      </c>
      <c r="AR27" s="340">
        <v>595</v>
      </c>
      <c r="AS27" s="340">
        <v>704</v>
      </c>
      <c r="AT27" s="341">
        <v>764</v>
      </c>
      <c r="AU27" s="339">
        <f t="shared" ref="AU27:AU68" si="56">IF($M27=$AH$7,AH27,0)</f>
        <v>0</v>
      </c>
      <c r="AV27" s="340">
        <f t="shared" ref="AV27:AV68" si="57">IF($M27=$AI$7,AI27,0)</f>
        <v>0</v>
      </c>
      <c r="AW27" s="340">
        <f t="shared" ref="AW27:AW68" si="58">IF($M27=$AJ$7,AJ27,0)</f>
        <v>0</v>
      </c>
      <c r="AX27" s="340">
        <f t="shared" ref="AX27:AX68" si="59">IF($M27=$AK$7,AK27,0)</f>
        <v>0</v>
      </c>
      <c r="AY27" s="340">
        <f t="shared" ref="AY27:AY68" si="60">IF($M27=$AL$7,AL27,0)</f>
        <v>0</v>
      </c>
      <c r="AZ27" s="340">
        <f t="shared" ref="AZ27:AZ68" si="61">IF($M27=$AM$7,AM27,0)</f>
        <v>0</v>
      </c>
      <c r="BA27" s="340">
        <f t="shared" ref="BA27:BA68" si="62">IF($M27=$AN$7,AN27,0)</f>
        <v>0</v>
      </c>
      <c r="BB27" s="340">
        <f t="shared" ref="BB27:BB68" si="63">IF($M27=$AO$7,AO27,0)</f>
        <v>0</v>
      </c>
      <c r="BC27" s="340">
        <f t="shared" ref="BC27:BC68" si="64">IF($M27=$AP$7,AP27,0)</f>
        <v>0</v>
      </c>
      <c r="BD27" s="340">
        <f t="shared" ref="BD27:BD62" si="65">IF($M27=$AQ$7,AQ27,0)</f>
        <v>545</v>
      </c>
      <c r="BE27" s="340">
        <f t="shared" ref="BE27:BE68" si="66">IF($M27=$AR$7,AR27,0)</f>
        <v>0</v>
      </c>
      <c r="BF27" s="340">
        <f t="shared" ref="BF27:BF68" si="67">IF($M27=$AS$7,AS27,0)</f>
        <v>0</v>
      </c>
      <c r="BG27" s="340">
        <f t="shared" ref="BG27:BG68" si="68">IF($M27=$AT$7,AT27,0)</f>
        <v>0</v>
      </c>
      <c r="BH27" s="339" t="str">
        <f t="shared" si="34"/>
        <v/>
      </c>
      <c r="BI27" s="340" t="str">
        <f t="shared" si="35"/>
        <v/>
      </c>
      <c r="BJ27" s="340" t="str">
        <f t="shared" si="36"/>
        <v/>
      </c>
      <c r="BK27" s="340" t="str">
        <f t="shared" si="37"/>
        <v/>
      </c>
      <c r="BL27" s="340" t="str">
        <f t="shared" si="38"/>
        <v/>
      </c>
      <c r="BM27" s="340" t="str">
        <f t="shared" si="39"/>
        <v/>
      </c>
      <c r="BN27" s="340" t="str">
        <f t="shared" si="40"/>
        <v/>
      </c>
      <c r="BO27" s="340" t="str">
        <f t="shared" si="41"/>
        <v/>
      </c>
      <c r="BP27" s="340" t="str">
        <f t="shared" si="42"/>
        <v/>
      </c>
      <c r="BQ27" s="340">
        <f t="shared" si="43"/>
        <v>20</v>
      </c>
      <c r="BR27" s="340" t="str">
        <f t="shared" si="44"/>
        <v/>
      </c>
      <c r="BS27" s="340" t="str">
        <f t="shared" si="45"/>
        <v/>
      </c>
      <c r="BT27" s="341" t="str">
        <f t="shared" si="46"/>
        <v/>
      </c>
      <c r="BU27" s="324"/>
    </row>
    <row r="28" spans="1:73" s="342" customFormat="1">
      <c r="A28" s="324"/>
      <c r="B28" s="324"/>
      <c r="C28" s="570"/>
      <c r="D28" s="572"/>
      <c r="E28" s="572"/>
      <c r="F28" s="327">
        <f t="shared" si="48"/>
        <v>0</v>
      </c>
      <c r="G28" s="570"/>
      <c r="H28" s="572"/>
      <c r="I28" s="572"/>
      <c r="J28" s="327">
        <f t="shared" si="49"/>
        <v>0</v>
      </c>
      <c r="K28" s="343">
        <f t="shared" si="50"/>
        <v>0</v>
      </c>
      <c r="L28" s="570"/>
      <c r="M28" s="570"/>
      <c r="N28" s="345">
        <f t="shared" si="51"/>
        <v>0</v>
      </c>
      <c r="O28" s="345">
        <v>109</v>
      </c>
      <c r="P28" s="346">
        <f t="shared" si="52"/>
        <v>0</v>
      </c>
      <c r="Q28" s="332" t="str">
        <f t="shared" si="5"/>
        <v/>
      </c>
      <c r="R28" s="332" t="str">
        <f t="shared" si="6"/>
        <v/>
      </c>
      <c r="S28" s="333" t="str">
        <f t="shared" si="7"/>
        <v/>
      </c>
      <c r="T28" s="333" t="str">
        <f t="shared" si="8"/>
        <v/>
      </c>
      <c r="U28" s="333" t="str">
        <f t="shared" si="9"/>
        <v/>
      </c>
      <c r="V28" s="333" t="str">
        <f t="shared" si="10"/>
        <v/>
      </c>
      <c r="W28" s="333" t="str">
        <f t="shared" si="11"/>
        <v/>
      </c>
      <c r="X28" s="333" t="str">
        <f t="shared" si="12"/>
        <v/>
      </c>
      <c r="Y28" s="333" t="str">
        <f t="shared" si="13"/>
        <v/>
      </c>
      <c r="Z28" s="333" t="str">
        <f t="shared" si="14"/>
        <v/>
      </c>
      <c r="AA28" s="333" t="str">
        <f t="shared" si="15"/>
        <v/>
      </c>
      <c r="AB28" s="333" t="str">
        <f t="shared" si="16"/>
        <v/>
      </c>
      <c r="AC28" s="334" t="str">
        <f t="shared" si="47"/>
        <v/>
      </c>
      <c r="AD28" s="335"/>
      <c r="AE28" s="336">
        <f t="shared" si="53"/>
        <v>0</v>
      </c>
      <c r="AF28" s="337">
        <f t="shared" si="54"/>
        <v>0</v>
      </c>
      <c r="AG28" s="338">
        <f t="shared" si="55"/>
        <v>0</v>
      </c>
      <c r="AH28" s="339">
        <v>394</v>
      </c>
      <c r="AI28" s="340">
        <v>416</v>
      </c>
      <c r="AJ28" s="340">
        <v>0</v>
      </c>
      <c r="AK28" s="340">
        <v>0</v>
      </c>
      <c r="AL28" s="340">
        <v>0</v>
      </c>
      <c r="AM28" s="340">
        <v>0</v>
      </c>
      <c r="AN28" s="340">
        <v>488</v>
      </c>
      <c r="AO28" s="340">
        <v>506</v>
      </c>
      <c r="AP28" s="340">
        <v>550</v>
      </c>
      <c r="AQ28" s="340">
        <v>630</v>
      </c>
      <c r="AR28" s="340">
        <v>680</v>
      </c>
      <c r="AS28" s="340">
        <v>789</v>
      </c>
      <c r="AT28" s="341">
        <v>849</v>
      </c>
      <c r="AU28" s="339">
        <f t="shared" si="56"/>
        <v>0</v>
      </c>
      <c r="AV28" s="340">
        <f t="shared" si="57"/>
        <v>0</v>
      </c>
      <c r="AW28" s="340">
        <f t="shared" si="58"/>
        <v>0</v>
      </c>
      <c r="AX28" s="340">
        <f t="shared" si="59"/>
        <v>0</v>
      </c>
      <c r="AY28" s="340">
        <f t="shared" si="60"/>
        <v>0</v>
      </c>
      <c r="AZ28" s="340">
        <f t="shared" si="61"/>
        <v>0</v>
      </c>
      <c r="BA28" s="340">
        <f t="shared" si="62"/>
        <v>0</v>
      </c>
      <c r="BB28" s="340">
        <f t="shared" si="63"/>
        <v>0</v>
      </c>
      <c r="BC28" s="340">
        <f t="shared" si="64"/>
        <v>0</v>
      </c>
      <c r="BD28" s="340">
        <f t="shared" si="65"/>
        <v>0</v>
      </c>
      <c r="BE28" s="340">
        <f t="shared" si="66"/>
        <v>0</v>
      </c>
      <c r="BF28" s="340">
        <f t="shared" si="67"/>
        <v>0</v>
      </c>
      <c r="BG28" s="340">
        <f t="shared" si="68"/>
        <v>0</v>
      </c>
      <c r="BH28" s="339" t="str">
        <f t="shared" si="34"/>
        <v/>
      </c>
      <c r="BI28" s="340" t="str">
        <f t="shared" si="35"/>
        <v/>
      </c>
      <c r="BJ28" s="340" t="str">
        <f t="shared" si="36"/>
        <v/>
      </c>
      <c r="BK28" s="340" t="str">
        <f t="shared" si="37"/>
        <v/>
      </c>
      <c r="BL28" s="340" t="str">
        <f t="shared" si="38"/>
        <v/>
      </c>
      <c r="BM28" s="340" t="str">
        <f t="shared" si="39"/>
        <v/>
      </c>
      <c r="BN28" s="340" t="str">
        <f t="shared" si="40"/>
        <v/>
      </c>
      <c r="BO28" s="340" t="str">
        <f t="shared" si="41"/>
        <v/>
      </c>
      <c r="BP28" s="340" t="str">
        <f t="shared" si="42"/>
        <v/>
      </c>
      <c r="BQ28" s="340" t="str">
        <f t="shared" si="43"/>
        <v/>
      </c>
      <c r="BR28" s="340" t="str">
        <f t="shared" si="44"/>
        <v/>
      </c>
      <c r="BS28" s="340" t="str">
        <f t="shared" si="45"/>
        <v/>
      </c>
      <c r="BT28" s="341" t="str">
        <f t="shared" si="46"/>
        <v/>
      </c>
      <c r="BU28" s="324"/>
    </row>
    <row r="29" spans="1:73" s="342" customFormat="1">
      <c r="A29" s="324"/>
      <c r="B29" s="324"/>
      <c r="C29" s="570" t="s">
        <v>566</v>
      </c>
      <c r="D29" s="572">
        <v>10.9</v>
      </c>
      <c r="E29" s="572">
        <v>9.4019999999999992</v>
      </c>
      <c r="F29" s="327">
        <f t="shared" si="48"/>
        <v>1.4980000000000011</v>
      </c>
      <c r="G29" s="570" t="s">
        <v>565</v>
      </c>
      <c r="H29" s="572">
        <v>10.85</v>
      </c>
      <c r="I29" s="572">
        <v>9.266</v>
      </c>
      <c r="J29" s="327">
        <f t="shared" si="49"/>
        <v>1.5839999999999996</v>
      </c>
      <c r="K29" s="343">
        <f t="shared" si="50"/>
        <v>1.75</v>
      </c>
      <c r="L29" s="570">
        <v>33</v>
      </c>
      <c r="M29" s="570">
        <v>300</v>
      </c>
      <c r="N29" s="345">
        <f t="shared" si="51"/>
        <v>0</v>
      </c>
      <c r="O29" s="345">
        <v>109</v>
      </c>
      <c r="P29" s="346">
        <f t="shared" si="52"/>
        <v>0</v>
      </c>
      <c r="Q29" s="332" t="str">
        <f t="shared" si="5"/>
        <v/>
      </c>
      <c r="R29" s="332" t="str">
        <f t="shared" si="6"/>
        <v/>
      </c>
      <c r="S29" s="333">
        <f t="shared" si="7"/>
        <v>0</v>
      </c>
      <c r="T29" s="333" t="str">
        <f t="shared" si="8"/>
        <v/>
      </c>
      <c r="U29" s="333" t="str">
        <f t="shared" si="9"/>
        <v/>
      </c>
      <c r="V29" s="333" t="str">
        <f t="shared" si="10"/>
        <v/>
      </c>
      <c r="W29" s="333" t="str">
        <f t="shared" si="11"/>
        <v/>
      </c>
      <c r="X29" s="333" t="str">
        <f t="shared" si="12"/>
        <v/>
      </c>
      <c r="Y29" s="333" t="str">
        <f t="shared" si="13"/>
        <v/>
      </c>
      <c r="Z29" s="333" t="str">
        <f t="shared" si="14"/>
        <v/>
      </c>
      <c r="AA29" s="333" t="str">
        <f t="shared" si="15"/>
        <v/>
      </c>
      <c r="AB29" s="333" t="str">
        <f t="shared" si="16"/>
        <v/>
      </c>
      <c r="AC29" s="334" t="str">
        <f t="shared" si="47"/>
        <v/>
      </c>
      <c r="AD29" s="335"/>
      <c r="AE29" s="336">
        <f t="shared" si="53"/>
        <v>2.3314500000000002</v>
      </c>
      <c r="AF29" s="337">
        <f t="shared" si="54"/>
        <v>32.175000000000004</v>
      </c>
      <c r="AG29" s="338">
        <f t="shared" si="55"/>
        <v>34.526250000000005</v>
      </c>
      <c r="AH29" s="339">
        <v>379</v>
      </c>
      <c r="AI29" s="340">
        <v>401</v>
      </c>
      <c r="AJ29" s="340">
        <v>0</v>
      </c>
      <c r="AK29" s="340">
        <v>0</v>
      </c>
      <c r="AL29" s="340">
        <v>0</v>
      </c>
      <c r="AM29" s="340">
        <v>0</v>
      </c>
      <c r="AN29" s="340">
        <v>471</v>
      </c>
      <c r="AO29" s="340">
        <v>489</v>
      </c>
      <c r="AP29" s="340">
        <v>533</v>
      </c>
      <c r="AQ29" s="340">
        <v>613</v>
      </c>
      <c r="AR29" s="340">
        <v>663</v>
      </c>
      <c r="AS29" s="340">
        <v>772</v>
      </c>
      <c r="AT29" s="341">
        <v>832</v>
      </c>
      <c r="AU29" s="339">
        <f t="shared" si="56"/>
        <v>0</v>
      </c>
      <c r="AV29" s="340">
        <f t="shared" si="57"/>
        <v>0</v>
      </c>
      <c r="AW29" s="340">
        <f t="shared" si="58"/>
        <v>0</v>
      </c>
      <c r="AX29" s="340">
        <f t="shared" si="59"/>
        <v>0</v>
      </c>
      <c r="AY29" s="340">
        <f t="shared" si="60"/>
        <v>0</v>
      </c>
      <c r="AZ29" s="340">
        <f t="shared" si="61"/>
        <v>0</v>
      </c>
      <c r="BA29" s="340">
        <f t="shared" si="62"/>
        <v>0</v>
      </c>
      <c r="BB29" s="340">
        <f t="shared" si="63"/>
        <v>0</v>
      </c>
      <c r="BC29" s="340">
        <f t="shared" si="64"/>
        <v>0</v>
      </c>
      <c r="BD29" s="340">
        <f t="shared" si="65"/>
        <v>0</v>
      </c>
      <c r="BE29" s="340">
        <f t="shared" si="66"/>
        <v>0</v>
      </c>
      <c r="BF29" s="340">
        <f t="shared" si="67"/>
        <v>0</v>
      </c>
      <c r="BG29" s="340">
        <f t="shared" si="68"/>
        <v>0</v>
      </c>
      <c r="BH29" s="339" t="str">
        <f t="shared" si="34"/>
        <v/>
      </c>
      <c r="BI29" s="340" t="str">
        <f t="shared" si="35"/>
        <v/>
      </c>
      <c r="BJ29" s="340">
        <f t="shared" si="36"/>
        <v>33</v>
      </c>
      <c r="BK29" s="340" t="str">
        <f t="shared" si="37"/>
        <v/>
      </c>
      <c r="BL29" s="340" t="str">
        <f t="shared" si="38"/>
        <v/>
      </c>
      <c r="BM29" s="340" t="str">
        <f t="shared" si="39"/>
        <v/>
      </c>
      <c r="BN29" s="340" t="str">
        <f t="shared" si="40"/>
        <v/>
      </c>
      <c r="BO29" s="340" t="str">
        <f t="shared" si="41"/>
        <v/>
      </c>
      <c r="BP29" s="340" t="str">
        <f t="shared" si="42"/>
        <v/>
      </c>
      <c r="BQ29" s="340" t="str">
        <f t="shared" si="43"/>
        <v/>
      </c>
      <c r="BR29" s="340" t="str">
        <f t="shared" si="44"/>
        <v/>
      </c>
      <c r="BS29" s="340" t="str">
        <f t="shared" si="45"/>
        <v/>
      </c>
      <c r="BT29" s="341" t="str">
        <f t="shared" si="46"/>
        <v/>
      </c>
      <c r="BU29" s="324"/>
    </row>
    <row r="30" spans="1:73" s="342" customFormat="1">
      <c r="A30" s="324"/>
      <c r="B30" s="324"/>
      <c r="C30" s="570" t="s">
        <v>565</v>
      </c>
      <c r="D30" s="572">
        <v>10.85</v>
      </c>
      <c r="E30" s="572">
        <v>9.266</v>
      </c>
      <c r="F30" s="327">
        <f t="shared" si="48"/>
        <v>1.5839999999999996</v>
      </c>
      <c r="G30" s="570" t="s">
        <v>564</v>
      </c>
      <c r="H30" s="572">
        <v>11.15</v>
      </c>
      <c r="I30" s="572">
        <v>8.26</v>
      </c>
      <c r="J30" s="327">
        <f t="shared" si="49"/>
        <v>2.8900000000000006</v>
      </c>
      <c r="K30" s="343">
        <f t="shared" si="50"/>
        <v>2.25</v>
      </c>
      <c r="L30" s="570">
        <v>32</v>
      </c>
      <c r="M30" s="570">
        <v>300</v>
      </c>
      <c r="N30" s="345">
        <f t="shared" si="51"/>
        <v>0</v>
      </c>
      <c r="O30" s="345">
        <v>0</v>
      </c>
      <c r="P30" s="346">
        <f t="shared" si="52"/>
        <v>0</v>
      </c>
      <c r="Q30" s="332" t="str">
        <f t="shared" si="5"/>
        <v/>
      </c>
      <c r="R30" s="332" t="str">
        <f t="shared" si="6"/>
        <v/>
      </c>
      <c r="S30" s="333">
        <f t="shared" si="7"/>
        <v>0</v>
      </c>
      <c r="T30" s="333" t="str">
        <f t="shared" si="8"/>
        <v/>
      </c>
      <c r="U30" s="333" t="str">
        <f t="shared" si="9"/>
        <v/>
      </c>
      <c r="V30" s="333" t="str">
        <f t="shared" si="10"/>
        <v/>
      </c>
      <c r="W30" s="333" t="str">
        <f t="shared" si="11"/>
        <v/>
      </c>
      <c r="X30" s="333" t="str">
        <f t="shared" si="12"/>
        <v/>
      </c>
      <c r="Y30" s="333" t="str">
        <f t="shared" si="13"/>
        <v/>
      </c>
      <c r="Z30" s="333" t="str">
        <f t="shared" si="14"/>
        <v/>
      </c>
      <c r="AA30" s="333" t="str">
        <f t="shared" si="15"/>
        <v/>
      </c>
      <c r="AB30" s="333" t="str">
        <f t="shared" si="16"/>
        <v/>
      </c>
      <c r="AC30" s="334" t="str">
        <f t="shared" si="47"/>
        <v/>
      </c>
      <c r="AD30" s="335"/>
      <c r="AE30" s="336">
        <f t="shared" si="53"/>
        <v>2.2608000000000001</v>
      </c>
      <c r="AF30" s="337">
        <f t="shared" si="54"/>
        <v>43.2</v>
      </c>
      <c r="AG30" s="338">
        <f t="shared" si="55"/>
        <v>33.480000000000004</v>
      </c>
      <c r="AH30" s="339">
        <v>0</v>
      </c>
      <c r="AI30" s="340">
        <v>0</v>
      </c>
      <c r="AJ30" s="340">
        <v>0</v>
      </c>
      <c r="AK30" s="340">
        <v>0</v>
      </c>
      <c r="AL30" s="340">
        <v>0</v>
      </c>
      <c r="AM30" s="340">
        <v>0</v>
      </c>
      <c r="AN30" s="340">
        <v>0</v>
      </c>
      <c r="AO30" s="340">
        <v>0</v>
      </c>
      <c r="AP30" s="340">
        <v>0</v>
      </c>
      <c r="AQ30" s="340">
        <v>0</v>
      </c>
      <c r="AR30" s="340">
        <v>0</v>
      </c>
      <c r="AS30" s="340">
        <v>0</v>
      </c>
      <c r="AT30" s="341">
        <v>0</v>
      </c>
      <c r="AU30" s="339">
        <f t="shared" si="56"/>
        <v>0</v>
      </c>
      <c r="AV30" s="340">
        <f t="shared" si="57"/>
        <v>0</v>
      </c>
      <c r="AW30" s="340">
        <f t="shared" si="58"/>
        <v>0</v>
      </c>
      <c r="AX30" s="340">
        <f t="shared" si="59"/>
        <v>0</v>
      </c>
      <c r="AY30" s="340">
        <f t="shared" si="60"/>
        <v>0</v>
      </c>
      <c r="AZ30" s="340">
        <f t="shared" si="61"/>
        <v>0</v>
      </c>
      <c r="BA30" s="340">
        <f t="shared" si="62"/>
        <v>0</v>
      </c>
      <c r="BB30" s="340">
        <f t="shared" si="63"/>
        <v>0</v>
      </c>
      <c r="BC30" s="340">
        <f t="shared" si="64"/>
        <v>0</v>
      </c>
      <c r="BD30" s="340">
        <f t="shared" si="65"/>
        <v>0</v>
      </c>
      <c r="BE30" s="340">
        <f t="shared" si="66"/>
        <v>0</v>
      </c>
      <c r="BF30" s="340">
        <f t="shared" si="67"/>
        <v>0</v>
      </c>
      <c r="BG30" s="340">
        <f t="shared" si="68"/>
        <v>0</v>
      </c>
      <c r="BH30" s="339" t="str">
        <f t="shared" si="34"/>
        <v/>
      </c>
      <c r="BI30" s="340" t="str">
        <f t="shared" si="35"/>
        <v/>
      </c>
      <c r="BJ30" s="340">
        <f t="shared" si="36"/>
        <v>32</v>
      </c>
      <c r="BK30" s="340" t="str">
        <f t="shared" si="37"/>
        <v/>
      </c>
      <c r="BL30" s="340" t="str">
        <f t="shared" si="38"/>
        <v/>
      </c>
      <c r="BM30" s="340" t="str">
        <f t="shared" si="39"/>
        <v/>
      </c>
      <c r="BN30" s="340" t="str">
        <f t="shared" si="40"/>
        <v/>
      </c>
      <c r="BO30" s="340" t="str">
        <f t="shared" si="41"/>
        <v/>
      </c>
      <c r="BP30" s="340" t="str">
        <f t="shared" si="42"/>
        <v/>
      </c>
      <c r="BQ30" s="340" t="str">
        <f t="shared" si="43"/>
        <v/>
      </c>
      <c r="BR30" s="340" t="str">
        <f t="shared" si="44"/>
        <v/>
      </c>
      <c r="BS30" s="340" t="str">
        <f t="shared" si="45"/>
        <v/>
      </c>
      <c r="BT30" s="341" t="str">
        <f t="shared" si="46"/>
        <v/>
      </c>
      <c r="BU30" s="324"/>
    </row>
    <row r="31" spans="1:73" s="342" customFormat="1">
      <c r="A31" s="324"/>
      <c r="B31" s="324"/>
      <c r="C31" s="570"/>
      <c r="D31" s="572"/>
      <c r="E31" s="572"/>
      <c r="F31" s="327">
        <f t="shared" si="48"/>
        <v>0</v>
      </c>
      <c r="G31" s="570"/>
      <c r="H31" s="572"/>
      <c r="I31" s="572"/>
      <c r="J31" s="327">
        <f t="shared" si="49"/>
        <v>0</v>
      </c>
      <c r="K31" s="343">
        <f t="shared" si="50"/>
        <v>0</v>
      </c>
      <c r="L31" s="570"/>
      <c r="M31" s="570"/>
      <c r="N31" s="345">
        <f t="shared" si="51"/>
        <v>0</v>
      </c>
      <c r="O31" s="345">
        <v>0</v>
      </c>
      <c r="P31" s="346">
        <f t="shared" si="52"/>
        <v>0</v>
      </c>
      <c r="Q31" s="332" t="str">
        <f t="shared" si="5"/>
        <v/>
      </c>
      <c r="R31" s="332" t="str">
        <f t="shared" si="6"/>
        <v/>
      </c>
      <c r="S31" s="333" t="str">
        <f t="shared" si="7"/>
        <v/>
      </c>
      <c r="T31" s="333" t="str">
        <f t="shared" si="8"/>
        <v/>
      </c>
      <c r="U31" s="333" t="str">
        <f t="shared" si="9"/>
        <v/>
      </c>
      <c r="V31" s="333" t="str">
        <f t="shared" si="10"/>
        <v/>
      </c>
      <c r="W31" s="333" t="str">
        <f t="shared" si="11"/>
        <v/>
      </c>
      <c r="X31" s="333" t="str">
        <f t="shared" si="12"/>
        <v/>
      </c>
      <c r="Y31" s="333" t="str">
        <f t="shared" si="13"/>
        <v/>
      </c>
      <c r="Z31" s="333" t="str">
        <f t="shared" si="14"/>
        <v/>
      </c>
      <c r="AA31" s="333" t="str">
        <f t="shared" si="15"/>
        <v/>
      </c>
      <c r="AB31" s="333" t="str">
        <f t="shared" si="16"/>
        <v/>
      </c>
      <c r="AC31" s="334" t="str">
        <f t="shared" si="47"/>
        <v/>
      </c>
      <c r="AD31" s="335"/>
      <c r="AE31" s="336">
        <f t="shared" si="53"/>
        <v>0</v>
      </c>
      <c r="AF31" s="337">
        <f t="shared" si="54"/>
        <v>0</v>
      </c>
      <c r="AG31" s="338">
        <f t="shared" si="55"/>
        <v>0</v>
      </c>
      <c r="AH31" s="339">
        <v>0</v>
      </c>
      <c r="AI31" s="340">
        <v>0</v>
      </c>
      <c r="AJ31" s="340">
        <v>0</v>
      </c>
      <c r="AK31" s="340">
        <v>0</v>
      </c>
      <c r="AL31" s="340">
        <v>0</v>
      </c>
      <c r="AM31" s="340">
        <v>0</v>
      </c>
      <c r="AN31" s="340">
        <v>0</v>
      </c>
      <c r="AO31" s="340">
        <v>0</v>
      </c>
      <c r="AP31" s="340">
        <v>0</v>
      </c>
      <c r="AQ31" s="340">
        <v>0</v>
      </c>
      <c r="AR31" s="340">
        <v>0</v>
      </c>
      <c r="AS31" s="340">
        <v>0</v>
      </c>
      <c r="AT31" s="341">
        <v>0</v>
      </c>
      <c r="AU31" s="339">
        <f t="shared" si="56"/>
        <v>0</v>
      </c>
      <c r="AV31" s="340">
        <f t="shared" si="57"/>
        <v>0</v>
      </c>
      <c r="AW31" s="340">
        <f t="shared" si="58"/>
        <v>0</v>
      </c>
      <c r="AX31" s="340">
        <f t="shared" si="59"/>
        <v>0</v>
      </c>
      <c r="AY31" s="340">
        <f t="shared" si="60"/>
        <v>0</v>
      </c>
      <c r="AZ31" s="340">
        <f t="shared" si="61"/>
        <v>0</v>
      </c>
      <c r="BA31" s="340">
        <f t="shared" si="62"/>
        <v>0</v>
      </c>
      <c r="BB31" s="340">
        <f t="shared" si="63"/>
        <v>0</v>
      </c>
      <c r="BC31" s="340">
        <f t="shared" si="64"/>
        <v>0</v>
      </c>
      <c r="BD31" s="340">
        <f t="shared" si="65"/>
        <v>0</v>
      </c>
      <c r="BE31" s="340">
        <f t="shared" si="66"/>
        <v>0</v>
      </c>
      <c r="BF31" s="340">
        <f t="shared" si="67"/>
        <v>0</v>
      </c>
      <c r="BG31" s="340">
        <f t="shared" si="68"/>
        <v>0</v>
      </c>
      <c r="BH31" s="339" t="str">
        <f t="shared" si="34"/>
        <v/>
      </c>
      <c r="BI31" s="340" t="str">
        <f t="shared" si="35"/>
        <v/>
      </c>
      <c r="BJ31" s="340" t="str">
        <f t="shared" si="36"/>
        <v/>
      </c>
      <c r="BK31" s="340" t="str">
        <f t="shared" si="37"/>
        <v/>
      </c>
      <c r="BL31" s="340" t="str">
        <f t="shared" si="38"/>
        <v/>
      </c>
      <c r="BM31" s="340" t="str">
        <f t="shared" si="39"/>
        <v/>
      </c>
      <c r="BN31" s="340" t="str">
        <f t="shared" si="40"/>
        <v/>
      </c>
      <c r="BO31" s="340" t="str">
        <f t="shared" si="41"/>
        <v/>
      </c>
      <c r="BP31" s="340" t="str">
        <f t="shared" si="42"/>
        <v/>
      </c>
      <c r="BQ31" s="340" t="str">
        <f t="shared" si="43"/>
        <v/>
      </c>
      <c r="BR31" s="340" t="str">
        <f t="shared" si="44"/>
        <v/>
      </c>
      <c r="BS31" s="340" t="str">
        <f t="shared" si="45"/>
        <v/>
      </c>
      <c r="BT31" s="341" t="str">
        <f t="shared" si="46"/>
        <v/>
      </c>
      <c r="BU31" s="324"/>
    </row>
    <row r="32" spans="1:73" s="342" customFormat="1">
      <c r="A32" s="324"/>
      <c r="B32" s="324"/>
      <c r="C32" s="570" t="s">
        <v>564</v>
      </c>
      <c r="D32" s="572">
        <v>11.15</v>
      </c>
      <c r="E32" s="572">
        <v>8.26</v>
      </c>
      <c r="F32" s="327">
        <f t="shared" si="48"/>
        <v>2.8900000000000006</v>
      </c>
      <c r="G32" s="570" t="s">
        <v>563</v>
      </c>
      <c r="H32" s="572">
        <v>10.9</v>
      </c>
      <c r="I32" s="572">
        <v>8.1920000000000002</v>
      </c>
      <c r="J32" s="327">
        <f t="shared" si="49"/>
        <v>2.7080000000000002</v>
      </c>
      <c r="K32" s="343">
        <f t="shared" si="50"/>
        <v>3</v>
      </c>
      <c r="L32" s="570">
        <v>27</v>
      </c>
      <c r="M32" s="570">
        <v>900</v>
      </c>
      <c r="N32" s="345">
        <f t="shared" si="51"/>
        <v>0</v>
      </c>
      <c r="O32" s="345">
        <v>0</v>
      </c>
      <c r="P32" s="346">
        <f t="shared" si="52"/>
        <v>0</v>
      </c>
      <c r="Q32" s="332" t="str">
        <f t="shared" si="5"/>
        <v/>
      </c>
      <c r="R32" s="332" t="str">
        <f t="shared" si="6"/>
        <v/>
      </c>
      <c r="S32" s="333" t="str">
        <f t="shared" si="7"/>
        <v/>
      </c>
      <c r="T32" s="333" t="str">
        <f t="shared" si="8"/>
        <v/>
      </c>
      <c r="U32" s="333" t="str">
        <f t="shared" si="9"/>
        <v/>
      </c>
      <c r="V32" s="333" t="str">
        <f t="shared" si="10"/>
        <v/>
      </c>
      <c r="W32" s="333" t="str">
        <f t="shared" si="11"/>
        <v/>
      </c>
      <c r="X32" s="333" t="str">
        <f t="shared" si="12"/>
        <v/>
      </c>
      <c r="Y32" s="333" t="str">
        <f t="shared" si="13"/>
        <v/>
      </c>
      <c r="Z32" s="333">
        <f t="shared" si="14"/>
        <v>0</v>
      </c>
      <c r="AA32" s="333" t="str">
        <f t="shared" si="15"/>
        <v/>
      </c>
      <c r="AB32" s="333" t="str">
        <f t="shared" si="16"/>
        <v/>
      </c>
      <c r="AC32" s="334" t="str">
        <f t="shared" si="47"/>
        <v/>
      </c>
      <c r="AD32" s="335"/>
      <c r="AE32" s="336">
        <f t="shared" si="53"/>
        <v>17.167950000000001</v>
      </c>
      <c r="AF32" s="337">
        <f t="shared" si="54"/>
        <v>92.947499999999991</v>
      </c>
      <c r="AG32" s="338">
        <f t="shared" si="55"/>
        <v>28.248750000000005</v>
      </c>
      <c r="AH32" s="339">
        <v>0</v>
      </c>
      <c r="AI32" s="340">
        <v>0</v>
      </c>
      <c r="AJ32" s="340">
        <v>0</v>
      </c>
      <c r="AK32" s="340">
        <v>0</v>
      </c>
      <c r="AL32" s="340">
        <v>0</v>
      </c>
      <c r="AM32" s="340">
        <v>0</v>
      </c>
      <c r="AN32" s="340">
        <v>0</v>
      </c>
      <c r="AO32" s="340">
        <v>0</v>
      </c>
      <c r="AP32" s="340">
        <v>0</v>
      </c>
      <c r="AQ32" s="340">
        <v>0</v>
      </c>
      <c r="AR32" s="340">
        <v>0</v>
      </c>
      <c r="AS32" s="340">
        <v>0</v>
      </c>
      <c r="AT32" s="341">
        <v>0</v>
      </c>
      <c r="AU32" s="339">
        <f t="shared" si="56"/>
        <v>0</v>
      </c>
      <c r="AV32" s="340">
        <f t="shared" si="57"/>
        <v>0</v>
      </c>
      <c r="AW32" s="340">
        <f t="shared" si="58"/>
        <v>0</v>
      </c>
      <c r="AX32" s="340">
        <f t="shared" si="59"/>
        <v>0</v>
      </c>
      <c r="AY32" s="340">
        <f t="shared" si="60"/>
        <v>0</v>
      </c>
      <c r="AZ32" s="340">
        <f t="shared" si="61"/>
        <v>0</v>
      </c>
      <c r="BA32" s="340">
        <f t="shared" si="62"/>
        <v>0</v>
      </c>
      <c r="BB32" s="340">
        <f t="shared" si="63"/>
        <v>0</v>
      </c>
      <c r="BC32" s="340">
        <f t="shared" si="64"/>
        <v>0</v>
      </c>
      <c r="BD32" s="340">
        <f t="shared" si="65"/>
        <v>0</v>
      </c>
      <c r="BE32" s="340">
        <f t="shared" si="66"/>
        <v>0</v>
      </c>
      <c r="BF32" s="340">
        <f t="shared" si="67"/>
        <v>0</v>
      </c>
      <c r="BG32" s="340">
        <f t="shared" si="68"/>
        <v>0</v>
      </c>
      <c r="BH32" s="339" t="str">
        <f t="shared" si="34"/>
        <v/>
      </c>
      <c r="BI32" s="340" t="str">
        <f t="shared" si="35"/>
        <v/>
      </c>
      <c r="BJ32" s="340" t="str">
        <f t="shared" si="36"/>
        <v/>
      </c>
      <c r="BK32" s="340" t="str">
        <f t="shared" si="37"/>
        <v/>
      </c>
      <c r="BL32" s="340" t="str">
        <f t="shared" si="38"/>
        <v/>
      </c>
      <c r="BM32" s="340" t="str">
        <f t="shared" si="39"/>
        <v/>
      </c>
      <c r="BN32" s="340" t="str">
        <f t="shared" si="40"/>
        <v/>
      </c>
      <c r="BO32" s="340" t="str">
        <f t="shared" si="41"/>
        <v/>
      </c>
      <c r="BP32" s="340" t="str">
        <f t="shared" si="42"/>
        <v/>
      </c>
      <c r="BQ32" s="340">
        <f t="shared" si="43"/>
        <v>27</v>
      </c>
      <c r="BR32" s="340" t="str">
        <f t="shared" si="44"/>
        <v/>
      </c>
      <c r="BS32" s="340" t="str">
        <f t="shared" si="45"/>
        <v/>
      </c>
      <c r="BT32" s="341" t="str">
        <f t="shared" si="46"/>
        <v/>
      </c>
      <c r="BU32" s="324"/>
    </row>
    <row r="33" spans="1:73" s="342" customFormat="1">
      <c r="A33" s="324"/>
      <c r="B33" s="324"/>
      <c r="C33" s="570" t="s">
        <v>563</v>
      </c>
      <c r="D33" s="572">
        <v>10.9</v>
      </c>
      <c r="E33" s="572">
        <v>8.1920000000000002</v>
      </c>
      <c r="F33" s="327">
        <f t="shared" si="48"/>
        <v>2.7080000000000002</v>
      </c>
      <c r="G33" s="570" t="s">
        <v>562</v>
      </c>
      <c r="H33" s="572">
        <v>10.7</v>
      </c>
      <c r="I33" s="572">
        <v>8.1440000000000001</v>
      </c>
      <c r="J33" s="327">
        <f t="shared" si="49"/>
        <v>2.5559999999999992</v>
      </c>
      <c r="K33" s="343">
        <f t="shared" si="50"/>
        <v>2.75</v>
      </c>
      <c r="L33" s="570">
        <v>19</v>
      </c>
      <c r="M33" s="570">
        <v>900</v>
      </c>
      <c r="N33" s="345">
        <f t="shared" si="51"/>
        <v>596</v>
      </c>
      <c r="O33" s="345">
        <v>109</v>
      </c>
      <c r="P33" s="346">
        <f t="shared" si="52"/>
        <v>487</v>
      </c>
      <c r="Q33" s="332" t="str">
        <f t="shared" si="5"/>
        <v/>
      </c>
      <c r="R33" s="332" t="str">
        <f t="shared" si="6"/>
        <v/>
      </c>
      <c r="S33" s="333" t="str">
        <f t="shared" si="7"/>
        <v/>
      </c>
      <c r="T33" s="333" t="str">
        <f t="shared" si="8"/>
        <v/>
      </c>
      <c r="U33" s="333" t="str">
        <f t="shared" si="9"/>
        <v/>
      </c>
      <c r="V33" s="333" t="str">
        <f t="shared" si="10"/>
        <v/>
      </c>
      <c r="W33" s="333" t="str">
        <f t="shared" si="11"/>
        <v/>
      </c>
      <c r="X33" s="333" t="str">
        <f t="shared" si="12"/>
        <v/>
      </c>
      <c r="Y33" s="333" t="str">
        <f t="shared" si="13"/>
        <v/>
      </c>
      <c r="Z33" s="333">
        <f t="shared" si="14"/>
        <v>9253</v>
      </c>
      <c r="AA33" s="333" t="str">
        <f t="shared" si="15"/>
        <v/>
      </c>
      <c r="AB33" s="333" t="str">
        <f t="shared" si="16"/>
        <v/>
      </c>
      <c r="AC33" s="334" t="str">
        <f t="shared" si="47"/>
        <v/>
      </c>
      <c r="AD33" s="335"/>
      <c r="AE33" s="336">
        <f t="shared" si="53"/>
        <v>12.081150000000001</v>
      </c>
      <c r="AF33" s="337">
        <f t="shared" si="54"/>
        <v>58.994999999999997</v>
      </c>
      <c r="AG33" s="338">
        <f t="shared" si="55"/>
        <v>19.878750000000004</v>
      </c>
      <c r="AH33" s="339">
        <v>364</v>
      </c>
      <c r="AI33" s="340">
        <v>386</v>
      </c>
      <c r="AJ33" s="340">
        <v>0</v>
      </c>
      <c r="AK33" s="340">
        <v>0</v>
      </c>
      <c r="AL33" s="340">
        <v>0</v>
      </c>
      <c r="AM33" s="340">
        <v>0</v>
      </c>
      <c r="AN33" s="340">
        <v>454</v>
      </c>
      <c r="AO33" s="340">
        <v>472</v>
      </c>
      <c r="AP33" s="340">
        <v>516</v>
      </c>
      <c r="AQ33" s="340">
        <v>596</v>
      </c>
      <c r="AR33" s="340">
        <v>646</v>
      </c>
      <c r="AS33" s="340">
        <v>755</v>
      </c>
      <c r="AT33" s="341">
        <v>815</v>
      </c>
      <c r="AU33" s="339">
        <f t="shared" si="56"/>
        <v>0</v>
      </c>
      <c r="AV33" s="340">
        <f t="shared" si="57"/>
        <v>0</v>
      </c>
      <c r="AW33" s="340">
        <f t="shared" si="58"/>
        <v>0</v>
      </c>
      <c r="AX33" s="340">
        <f t="shared" si="59"/>
        <v>0</v>
      </c>
      <c r="AY33" s="340">
        <f t="shared" si="60"/>
        <v>0</v>
      </c>
      <c r="AZ33" s="340">
        <f t="shared" si="61"/>
        <v>0</v>
      </c>
      <c r="BA33" s="340">
        <f t="shared" si="62"/>
        <v>0</v>
      </c>
      <c r="BB33" s="340">
        <f t="shared" si="63"/>
        <v>0</v>
      </c>
      <c r="BC33" s="340">
        <f t="shared" si="64"/>
        <v>0</v>
      </c>
      <c r="BD33" s="340">
        <f t="shared" si="65"/>
        <v>596</v>
      </c>
      <c r="BE33" s="340">
        <f t="shared" si="66"/>
        <v>0</v>
      </c>
      <c r="BF33" s="340">
        <f t="shared" si="67"/>
        <v>0</v>
      </c>
      <c r="BG33" s="340">
        <f t="shared" si="68"/>
        <v>0</v>
      </c>
      <c r="BH33" s="339" t="str">
        <f t="shared" si="34"/>
        <v/>
      </c>
      <c r="BI33" s="340" t="str">
        <f t="shared" si="35"/>
        <v/>
      </c>
      <c r="BJ33" s="340" t="str">
        <f t="shared" si="36"/>
        <v/>
      </c>
      <c r="BK33" s="340" t="str">
        <f t="shared" si="37"/>
        <v/>
      </c>
      <c r="BL33" s="340" t="str">
        <f t="shared" si="38"/>
        <v/>
      </c>
      <c r="BM33" s="340" t="str">
        <f t="shared" si="39"/>
        <v/>
      </c>
      <c r="BN33" s="340" t="str">
        <f t="shared" si="40"/>
        <v/>
      </c>
      <c r="BO33" s="340" t="str">
        <f t="shared" si="41"/>
        <v/>
      </c>
      <c r="BP33" s="340" t="str">
        <f t="shared" si="42"/>
        <v/>
      </c>
      <c r="BQ33" s="340">
        <f t="shared" si="43"/>
        <v>19</v>
      </c>
      <c r="BR33" s="340" t="str">
        <f t="shared" si="44"/>
        <v/>
      </c>
      <c r="BS33" s="340" t="str">
        <f t="shared" si="45"/>
        <v/>
      </c>
      <c r="BT33" s="341" t="str">
        <f t="shared" si="46"/>
        <v/>
      </c>
      <c r="BU33" s="324"/>
    </row>
    <row r="34" spans="1:73" s="342" customFormat="1">
      <c r="A34" s="324"/>
      <c r="B34" s="324"/>
      <c r="C34" s="570" t="s">
        <v>562</v>
      </c>
      <c r="D34" s="572">
        <v>10.7</v>
      </c>
      <c r="E34" s="572">
        <v>8.1440000000000001</v>
      </c>
      <c r="F34" s="327">
        <f t="shared" si="48"/>
        <v>2.5559999999999992</v>
      </c>
      <c r="G34" s="570" t="s">
        <v>157</v>
      </c>
      <c r="H34" s="572">
        <v>10.6</v>
      </c>
      <c r="I34" s="572">
        <v>8.1020000000000003</v>
      </c>
      <c r="J34" s="327">
        <f t="shared" si="49"/>
        <v>2.4979999999999993</v>
      </c>
      <c r="K34" s="343">
        <f t="shared" si="50"/>
        <v>2.75</v>
      </c>
      <c r="L34" s="570">
        <v>17</v>
      </c>
      <c r="M34" s="570">
        <v>900</v>
      </c>
      <c r="N34" s="345">
        <f t="shared" si="51"/>
        <v>579</v>
      </c>
      <c r="O34" s="345">
        <v>109</v>
      </c>
      <c r="P34" s="346">
        <f t="shared" si="52"/>
        <v>470</v>
      </c>
      <c r="Q34" s="332" t="str">
        <f t="shared" si="5"/>
        <v/>
      </c>
      <c r="R34" s="332" t="str">
        <f t="shared" si="6"/>
        <v/>
      </c>
      <c r="S34" s="333" t="str">
        <f t="shared" si="7"/>
        <v/>
      </c>
      <c r="T34" s="333" t="str">
        <f t="shared" si="8"/>
        <v/>
      </c>
      <c r="U34" s="333" t="str">
        <f t="shared" si="9"/>
        <v/>
      </c>
      <c r="V34" s="333" t="str">
        <f t="shared" si="10"/>
        <v/>
      </c>
      <c r="W34" s="333" t="str">
        <f t="shared" si="11"/>
        <v/>
      </c>
      <c r="X34" s="333" t="str">
        <f t="shared" si="12"/>
        <v/>
      </c>
      <c r="Y34" s="333" t="str">
        <f t="shared" si="13"/>
        <v/>
      </c>
      <c r="Z34" s="333">
        <f t="shared" si="14"/>
        <v>7990</v>
      </c>
      <c r="AA34" s="333" t="str">
        <f t="shared" si="15"/>
        <v/>
      </c>
      <c r="AB34" s="333" t="str">
        <f t="shared" si="16"/>
        <v/>
      </c>
      <c r="AC34" s="334" t="str">
        <f t="shared" si="47"/>
        <v/>
      </c>
      <c r="AD34" s="335"/>
      <c r="AE34" s="336">
        <f t="shared" si="53"/>
        <v>10.80945</v>
      </c>
      <c r="AF34" s="337">
        <f t="shared" si="54"/>
        <v>52.784999999999997</v>
      </c>
      <c r="AG34" s="338">
        <f t="shared" si="55"/>
        <v>17.786250000000003</v>
      </c>
      <c r="AH34" s="339">
        <v>292</v>
      </c>
      <c r="AI34" s="340">
        <v>371</v>
      </c>
      <c r="AJ34" s="340">
        <v>0</v>
      </c>
      <c r="AK34" s="340">
        <v>0</v>
      </c>
      <c r="AL34" s="340">
        <v>425</v>
      </c>
      <c r="AM34" s="340">
        <v>430</v>
      </c>
      <c r="AN34" s="340">
        <v>437</v>
      </c>
      <c r="AO34" s="340">
        <v>455</v>
      </c>
      <c r="AP34" s="340">
        <v>499</v>
      </c>
      <c r="AQ34" s="340">
        <v>579</v>
      </c>
      <c r="AR34" s="340">
        <v>629</v>
      </c>
      <c r="AS34" s="340">
        <v>738</v>
      </c>
      <c r="AT34" s="341">
        <v>798</v>
      </c>
      <c r="AU34" s="339">
        <f t="shared" si="56"/>
        <v>0</v>
      </c>
      <c r="AV34" s="340">
        <f t="shared" si="57"/>
        <v>0</v>
      </c>
      <c r="AW34" s="340">
        <f t="shared" si="58"/>
        <v>0</v>
      </c>
      <c r="AX34" s="340">
        <f t="shared" si="59"/>
        <v>0</v>
      </c>
      <c r="AY34" s="340">
        <f t="shared" si="60"/>
        <v>0</v>
      </c>
      <c r="AZ34" s="340">
        <f t="shared" si="61"/>
        <v>0</v>
      </c>
      <c r="BA34" s="340">
        <f t="shared" si="62"/>
        <v>0</v>
      </c>
      <c r="BB34" s="340">
        <f t="shared" si="63"/>
        <v>0</v>
      </c>
      <c r="BC34" s="340">
        <f t="shared" si="64"/>
        <v>0</v>
      </c>
      <c r="BD34" s="340">
        <f t="shared" si="65"/>
        <v>579</v>
      </c>
      <c r="BE34" s="340">
        <f t="shared" si="66"/>
        <v>0</v>
      </c>
      <c r="BF34" s="340">
        <f t="shared" si="67"/>
        <v>0</v>
      </c>
      <c r="BG34" s="340">
        <f t="shared" si="68"/>
        <v>0</v>
      </c>
      <c r="BH34" s="339" t="str">
        <f t="shared" si="34"/>
        <v/>
      </c>
      <c r="BI34" s="340" t="str">
        <f t="shared" si="35"/>
        <v/>
      </c>
      <c r="BJ34" s="340" t="str">
        <f t="shared" si="36"/>
        <v/>
      </c>
      <c r="BK34" s="340" t="str">
        <f t="shared" si="37"/>
        <v/>
      </c>
      <c r="BL34" s="340" t="str">
        <f t="shared" si="38"/>
        <v/>
      </c>
      <c r="BM34" s="340" t="str">
        <f t="shared" si="39"/>
        <v/>
      </c>
      <c r="BN34" s="340" t="str">
        <f t="shared" si="40"/>
        <v/>
      </c>
      <c r="BO34" s="340" t="str">
        <f t="shared" si="41"/>
        <v/>
      </c>
      <c r="BP34" s="340" t="str">
        <f t="shared" si="42"/>
        <v/>
      </c>
      <c r="BQ34" s="340">
        <f t="shared" si="43"/>
        <v>17</v>
      </c>
      <c r="BR34" s="340" t="str">
        <f t="shared" si="44"/>
        <v/>
      </c>
      <c r="BS34" s="340" t="str">
        <f t="shared" si="45"/>
        <v/>
      </c>
      <c r="BT34" s="341" t="str">
        <f t="shared" si="46"/>
        <v/>
      </c>
      <c r="BU34" s="324"/>
    </row>
    <row r="35" spans="1:73" s="342" customFormat="1">
      <c r="A35" s="324"/>
      <c r="B35" s="324"/>
      <c r="C35" s="570"/>
      <c r="D35" s="572"/>
      <c r="E35" s="572"/>
      <c r="F35" s="327">
        <f t="shared" si="48"/>
        <v>0</v>
      </c>
      <c r="G35" s="570"/>
      <c r="H35" s="572"/>
      <c r="I35" s="572"/>
      <c r="J35" s="327">
        <f t="shared" si="49"/>
        <v>0</v>
      </c>
      <c r="K35" s="343">
        <f t="shared" si="50"/>
        <v>0</v>
      </c>
      <c r="L35" s="570"/>
      <c r="M35" s="570"/>
      <c r="N35" s="345">
        <f t="shared" si="51"/>
        <v>0</v>
      </c>
      <c r="O35" s="345">
        <v>109</v>
      </c>
      <c r="P35" s="346">
        <f t="shared" si="52"/>
        <v>0</v>
      </c>
      <c r="Q35" s="332" t="str">
        <f t="shared" si="5"/>
        <v/>
      </c>
      <c r="R35" s="332" t="str">
        <f t="shared" si="6"/>
        <v/>
      </c>
      <c r="S35" s="333" t="str">
        <f t="shared" si="7"/>
        <v/>
      </c>
      <c r="T35" s="333" t="str">
        <f t="shared" si="8"/>
        <v/>
      </c>
      <c r="U35" s="333" t="str">
        <f t="shared" si="9"/>
        <v/>
      </c>
      <c r="V35" s="333" t="str">
        <f t="shared" si="10"/>
        <v/>
      </c>
      <c r="W35" s="333" t="str">
        <f t="shared" si="11"/>
        <v/>
      </c>
      <c r="X35" s="333" t="str">
        <f t="shared" si="12"/>
        <v/>
      </c>
      <c r="Y35" s="333" t="str">
        <f t="shared" si="13"/>
        <v/>
      </c>
      <c r="Z35" s="333" t="str">
        <f t="shared" si="14"/>
        <v/>
      </c>
      <c r="AA35" s="333" t="str">
        <f t="shared" si="15"/>
        <v/>
      </c>
      <c r="AB35" s="333" t="str">
        <f t="shared" si="16"/>
        <v/>
      </c>
      <c r="AC35" s="334" t="str">
        <f t="shared" si="47"/>
        <v/>
      </c>
      <c r="AD35" s="335"/>
      <c r="AE35" s="336">
        <f t="shared" si="53"/>
        <v>0</v>
      </c>
      <c r="AF35" s="337">
        <f t="shared" si="54"/>
        <v>0</v>
      </c>
      <c r="AG35" s="338">
        <f t="shared" si="55"/>
        <v>0</v>
      </c>
      <c r="AH35" s="339">
        <v>257</v>
      </c>
      <c r="AI35" s="340">
        <v>326</v>
      </c>
      <c r="AJ35" s="340">
        <v>351</v>
      </c>
      <c r="AK35" s="340">
        <v>383</v>
      </c>
      <c r="AL35" s="340">
        <v>388</v>
      </c>
      <c r="AM35" s="340">
        <v>377</v>
      </c>
      <c r="AN35" s="340">
        <v>386</v>
      </c>
      <c r="AO35" s="340">
        <v>404</v>
      </c>
      <c r="AP35" s="340">
        <v>448</v>
      </c>
      <c r="AQ35" s="340">
        <v>528</v>
      </c>
      <c r="AR35" s="340">
        <v>578</v>
      </c>
      <c r="AS35" s="340">
        <v>677</v>
      </c>
      <c r="AT35" s="341">
        <v>737</v>
      </c>
      <c r="AU35" s="339">
        <f t="shared" si="56"/>
        <v>0</v>
      </c>
      <c r="AV35" s="340">
        <f t="shared" si="57"/>
        <v>0</v>
      </c>
      <c r="AW35" s="340">
        <f t="shared" si="58"/>
        <v>0</v>
      </c>
      <c r="AX35" s="340">
        <f t="shared" si="59"/>
        <v>0</v>
      </c>
      <c r="AY35" s="340">
        <f t="shared" si="60"/>
        <v>0</v>
      </c>
      <c r="AZ35" s="340">
        <f t="shared" si="61"/>
        <v>0</v>
      </c>
      <c r="BA35" s="340">
        <f t="shared" si="62"/>
        <v>0</v>
      </c>
      <c r="BB35" s="340">
        <f t="shared" si="63"/>
        <v>0</v>
      </c>
      <c r="BC35" s="340">
        <f t="shared" si="64"/>
        <v>0</v>
      </c>
      <c r="BD35" s="340">
        <f t="shared" si="65"/>
        <v>0</v>
      </c>
      <c r="BE35" s="340">
        <f t="shared" si="66"/>
        <v>0</v>
      </c>
      <c r="BF35" s="340">
        <f t="shared" si="67"/>
        <v>0</v>
      </c>
      <c r="BG35" s="340">
        <f t="shared" si="68"/>
        <v>0</v>
      </c>
      <c r="BH35" s="339" t="str">
        <f t="shared" si="34"/>
        <v/>
      </c>
      <c r="BI35" s="340" t="str">
        <f t="shared" si="35"/>
        <v/>
      </c>
      <c r="BJ35" s="340" t="str">
        <f t="shared" si="36"/>
        <v/>
      </c>
      <c r="BK35" s="340" t="str">
        <f t="shared" si="37"/>
        <v/>
      </c>
      <c r="BL35" s="340" t="str">
        <f t="shared" si="38"/>
        <v/>
      </c>
      <c r="BM35" s="340" t="str">
        <f t="shared" si="39"/>
        <v/>
      </c>
      <c r="BN35" s="340" t="str">
        <f t="shared" si="40"/>
        <v/>
      </c>
      <c r="BO35" s="340" t="str">
        <f t="shared" si="41"/>
        <v/>
      </c>
      <c r="BP35" s="340" t="str">
        <f t="shared" si="42"/>
        <v/>
      </c>
      <c r="BQ35" s="340" t="str">
        <f t="shared" si="43"/>
        <v/>
      </c>
      <c r="BR35" s="340" t="str">
        <f t="shared" si="44"/>
        <v/>
      </c>
      <c r="BS35" s="340" t="str">
        <f t="shared" si="45"/>
        <v/>
      </c>
      <c r="BT35" s="341" t="str">
        <f t="shared" si="46"/>
        <v/>
      </c>
      <c r="BU35" s="324"/>
    </row>
    <row r="36" spans="1:73" s="342" customFormat="1">
      <c r="A36" s="324"/>
      <c r="B36" s="324"/>
      <c r="C36" s="570" t="s">
        <v>561</v>
      </c>
      <c r="D36" s="572">
        <v>11.2</v>
      </c>
      <c r="E36" s="572">
        <v>9.5350000000000001</v>
      </c>
      <c r="F36" s="327">
        <f t="shared" si="48"/>
        <v>1.6649999999999991</v>
      </c>
      <c r="G36" s="570" t="s">
        <v>560</v>
      </c>
      <c r="H36" s="572">
        <v>11.1</v>
      </c>
      <c r="I36" s="572">
        <v>9.4640000000000004</v>
      </c>
      <c r="J36" s="327">
        <f t="shared" si="49"/>
        <v>1.6359999999999992</v>
      </c>
      <c r="K36" s="343">
        <f t="shared" si="50"/>
        <v>1.75</v>
      </c>
      <c r="L36" s="570">
        <v>17</v>
      </c>
      <c r="M36" s="570">
        <v>300</v>
      </c>
      <c r="N36" s="345">
        <f t="shared" si="51"/>
        <v>291</v>
      </c>
      <c r="O36" s="345">
        <v>109</v>
      </c>
      <c r="P36" s="346">
        <f t="shared" si="52"/>
        <v>182</v>
      </c>
      <c r="Q36" s="332" t="str">
        <f t="shared" si="5"/>
        <v/>
      </c>
      <c r="R36" s="332" t="str">
        <f t="shared" si="6"/>
        <v/>
      </c>
      <c r="S36" s="333">
        <f t="shared" si="7"/>
        <v>3094</v>
      </c>
      <c r="T36" s="333" t="str">
        <f t="shared" si="8"/>
        <v/>
      </c>
      <c r="U36" s="333" t="str">
        <f t="shared" si="9"/>
        <v/>
      </c>
      <c r="V36" s="333" t="str">
        <f t="shared" si="10"/>
        <v/>
      </c>
      <c r="W36" s="333" t="str">
        <f t="shared" si="11"/>
        <v/>
      </c>
      <c r="X36" s="333" t="str">
        <f t="shared" si="12"/>
        <v/>
      </c>
      <c r="Y36" s="333" t="str">
        <f t="shared" si="13"/>
        <v/>
      </c>
      <c r="Z36" s="333" t="str">
        <f t="shared" si="14"/>
        <v/>
      </c>
      <c r="AA36" s="333" t="str">
        <f t="shared" si="15"/>
        <v/>
      </c>
      <c r="AB36" s="333" t="str">
        <f t="shared" si="16"/>
        <v/>
      </c>
      <c r="AC36" s="334" t="str">
        <f t="shared" si="47"/>
        <v/>
      </c>
      <c r="AD36" s="335"/>
      <c r="AE36" s="336">
        <f t="shared" si="53"/>
        <v>1.2010500000000002</v>
      </c>
      <c r="AF36" s="337">
        <f t="shared" si="54"/>
        <v>16.575000000000003</v>
      </c>
      <c r="AG36" s="338">
        <f t="shared" si="55"/>
        <v>17.786250000000003</v>
      </c>
      <c r="AH36" s="339">
        <v>234</v>
      </c>
      <c r="AI36" s="340">
        <v>270</v>
      </c>
      <c r="AJ36" s="340">
        <v>291</v>
      </c>
      <c r="AK36" s="340">
        <v>316</v>
      </c>
      <c r="AL36" s="340">
        <v>321</v>
      </c>
      <c r="AM36" s="340">
        <v>305</v>
      </c>
      <c r="AN36" s="340">
        <v>335</v>
      </c>
      <c r="AO36" s="340">
        <v>353</v>
      </c>
      <c r="AP36" s="340">
        <v>399</v>
      </c>
      <c r="AQ36" s="340">
        <v>479</v>
      </c>
      <c r="AR36" s="340">
        <v>529</v>
      </c>
      <c r="AS36" s="340">
        <v>626</v>
      </c>
      <c r="AT36" s="341">
        <v>686</v>
      </c>
      <c r="AU36" s="339">
        <f t="shared" si="56"/>
        <v>0</v>
      </c>
      <c r="AV36" s="340">
        <f t="shared" si="57"/>
        <v>0</v>
      </c>
      <c r="AW36" s="340">
        <f t="shared" si="58"/>
        <v>291</v>
      </c>
      <c r="AX36" s="340">
        <f t="shared" si="59"/>
        <v>0</v>
      </c>
      <c r="AY36" s="340">
        <f t="shared" si="60"/>
        <v>0</v>
      </c>
      <c r="AZ36" s="340">
        <f t="shared" si="61"/>
        <v>0</v>
      </c>
      <c r="BA36" s="340">
        <f t="shared" si="62"/>
        <v>0</v>
      </c>
      <c r="BB36" s="340">
        <f t="shared" si="63"/>
        <v>0</v>
      </c>
      <c r="BC36" s="340">
        <f t="shared" si="64"/>
        <v>0</v>
      </c>
      <c r="BD36" s="340">
        <f t="shared" si="65"/>
        <v>0</v>
      </c>
      <c r="BE36" s="340">
        <f t="shared" si="66"/>
        <v>0</v>
      </c>
      <c r="BF36" s="340">
        <f t="shared" si="67"/>
        <v>0</v>
      </c>
      <c r="BG36" s="340">
        <f t="shared" si="68"/>
        <v>0</v>
      </c>
      <c r="BH36" s="339" t="str">
        <f t="shared" si="34"/>
        <v/>
      </c>
      <c r="BI36" s="340" t="str">
        <f t="shared" si="35"/>
        <v/>
      </c>
      <c r="BJ36" s="340">
        <f t="shared" si="36"/>
        <v>17</v>
      </c>
      <c r="BK36" s="340" t="str">
        <f t="shared" si="37"/>
        <v/>
      </c>
      <c r="BL36" s="340" t="str">
        <f t="shared" si="38"/>
        <v/>
      </c>
      <c r="BM36" s="340" t="str">
        <f t="shared" si="39"/>
        <v/>
      </c>
      <c r="BN36" s="340" t="str">
        <f t="shared" si="40"/>
        <v/>
      </c>
      <c r="BO36" s="340" t="str">
        <f t="shared" si="41"/>
        <v/>
      </c>
      <c r="BP36" s="340" t="str">
        <f t="shared" si="42"/>
        <v/>
      </c>
      <c r="BQ36" s="340" t="str">
        <f t="shared" si="43"/>
        <v/>
      </c>
      <c r="BR36" s="340" t="str">
        <f t="shared" si="44"/>
        <v/>
      </c>
      <c r="BS36" s="340" t="str">
        <f t="shared" si="45"/>
        <v/>
      </c>
      <c r="BT36" s="341" t="str">
        <f t="shared" si="46"/>
        <v/>
      </c>
      <c r="BU36" s="324"/>
    </row>
    <row r="37" spans="1:73" s="342" customFormat="1">
      <c r="A37" s="324"/>
      <c r="B37" s="324"/>
      <c r="C37" s="570" t="s">
        <v>560</v>
      </c>
      <c r="D37" s="572">
        <v>11.1</v>
      </c>
      <c r="E37" s="572">
        <v>9.4640000000000004</v>
      </c>
      <c r="F37" s="327">
        <f t="shared" si="48"/>
        <v>1.6359999999999992</v>
      </c>
      <c r="G37" s="570" t="s">
        <v>559</v>
      </c>
      <c r="H37" s="572">
        <v>10.95</v>
      </c>
      <c r="I37" s="572">
        <v>9.2560000000000002</v>
      </c>
      <c r="J37" s="327">
        <f t="shared" si="49"/>
        <v>1.6939999999999991</v>
      </c>
      <c r="K37" s="343">
        <f t="shared" si="50"/>
        <v>1.75</v>
      </c>
      <c r="L37" s="570">
        <v>14</v>
      </c>
      <c r="M37" s="570">
        <v>300</v>
      </c>
      <c r="N37" s="345">
        <f t="shared" si="51"/>
        <v>231</v>
      </c>
      <c r="O37" s="345">
        <v>109</v>
      </c>
      <c r="P37" s="346">
        <f t="shared" si="52"/>
        <v>122</v>
      </c>
      <c r="Q37" s="332" t="str">
        <f t="shared" si="5"/>
        <v/>
      </c>
      <c r="R37" s="332" t="str">
        <f t="shared" si="6"/>
        <v/>
      </c>
      <c r="S37" s="333">
        <f t="shared" si="7"/>
        <v>1708</v>
      </c>
      <c r="T37" s="333" t="str">
        <f t="shared" si="8"/>
        <v/>
      </c>
      <c r="U37" s="333" t="str">
        <f t="shared" si="9"/>
        <v/>
      </c>
      <c r="V37" s="333" t="str">
        <f t="shared" si="10"/>
        <v/>
      </c>
      <c r="W37" s="333" t="str">
        <f t="shared" si="11"/>
        <v/>
      </c>
      <c r="X37" s="333" t="str">
        <f t="shared" si="12"/>
        <v/>
      </c>
      <c r="Y37" s="333" t="str">
        <f t="shared" si="13"/>
        <v/>
      </c>
      <c r="Z37" s="333" t="str">
        <f t="shared" si="14"/>
        <v/>
      </c>
      <c r="AA37" s="333" t="str">
        <f t="shared" si="15"/>
        <v/>
      </c>
      <c r="AB37" s="333" t="str">
        <f t="shared" si="16"/>
        <v/>
      </c>
      <c r="AC37" s="334" t="str">
        <f t="shared" si="47"/>
        <v/>
      </c>
      <c r="AD37" s="335"/>
      <c r="AE37" s="336">
        <f t="shared" si="53"/>
        <v>0.98910000000000009</v>
      </c>
      <c r="AF37" s="337">
        <f t="shared" si="54"/>
        <v>13.650000000000002</v>
      </c>
      <c r="AG37" s="338">
        <f t="shared" si="55"/>
        <v>14.647500000000001</v>
      </c>
      <c r="AH37" s="339">
        <v>187</v>
      </c>
      <c r="AI37" s="340">
        <v>210</v>
      </c>
      <c r="AJ37" s="340">
        <v>231</v>
      </c>
      <c r="AK37" s="340">
        <v>245</v>
      </c>
      <c r="AL37" s="340">
        <v>261</v>
      </c>
      <c r="AM37" s="340">
        <v>263</v>
      </c>
      <c r="AN37" s="340">
        <v>284</v>
      </c>
      <c r="AO37" s="340">
        <v>302</v>
      </c>
      <c r="AP37" s="340">
        <v>338</v>
      </c>
      <c r="AQ37" s="340">
        <v>418</v>
      </c>
      <c r="AR37" s="340">
        <v>468</v>
      </c>
      <c r="AS37" s="340">
        <v>570</v>
      </c>
      <c r="AT37" s="341">
        <v>630</v>
      </c>
      <c r="AU37" s="339">
        <f t="shared" si="56"/>
        <v>0</v>
      </c>
      <c r="AV37" s="340">
        <f t="shared" si="57"/>
        <v>0</v>
      </c>
      <c r="AW37" s="340">
        <f t="shared" si="58"/>
        <v>231</v>
      </c>
      <c r="AX37" s="340">
        <f t="shared" si="59"/>
        <v>0</v>
      </c>
      <c r="AY37" s="340">
        <f t="shared" si="60"/>
        <v>0</v>
      </c>
      <c r="AZ37" s="340">
        <f t="shared" si="61"/>
        <v>0</v>
      </c>
      <c r="BA37" s="340">
        <f t="shared" si="62"/>
        <v>0</v>
      </c>
      <c r="BB37" s="340">
        <f t="shared" si="63"/>
        <v>0</v>
      </c>
      <c r="BC37" s="340">
        <f t="shared" si="64"/>
        <v>0</v>
      </c>
      <c r="BD37" s="340">
        <f t="shared" si="65"/>
        <v>0</v>
      </c>
      <c r="BE37" s="340">
        <f t="shared" si="66"/>
        <v>0</v>
      </c>
      <c r="BF37" s="340">
        <f t="shared" si="67"/>
        <v>0</v>
      </c>
      <c r="BG37" s="340">
        <f t="shared" si="68"/>
        <v>0</v>
      </c>
      <c r="BH37" s="339" t="str">
        <f t="shared" si="34"/>
        <v/>
      </c>
      <c r="BI37" s="340" t="str">
        <f t="shared" si="35"/>
        <v/>
      </c>
      <c r="BJ37" s="340">
        <f t="shared" si="36"/>
        <v>14</v>
      </c>
      <c r="BK37" s="340" t="str">
        <f t="shared" si="37"/>
        <v/>
      </c>
      <c r="BL37" s="340" t="str">
        <f t="shared" si="38"/>
        <v/>
      </c>
      <c r="BM37" s="340" t="str">
        <f t="shared" si="39"/>
        <v/>
      </c>
      <c r="BN37" s="340" t="str">
        <f t="shared" si="40"/>
        <v/>
      </c>
      <c r="BO37" s="340" t="str">
        <f t="shared" si="41"/>
        <v/>
      </c>
      <c r="BP37" s="340" t="str">
        <f t="shared" si="42"/>
        <v/>
      </c>
      <c r="BQ37" s="340" t="str">
        <f t="shared" si="43"/>
        <v/>
      </c>
      <c r="BR37" s="340" t="str">
        <f t="shared" si="44"/>
        <v/>
      </c>
      <c r="BS37" s="340" t="str">
        <f t="shared" si="45"/>
        <v/>
      </c>
      <c r="BT37" s="341" t="str">
        <f t="shared" si="46"/>
        <v/>
      </c>
      <c r="BU37" s="324"/>
    </row>
    <row r="38" spans="1:73" s="342" customFormat="1">
      <c r="A38" s="324"/>
      <c r="B38" s="324"/>
      <c r="C38" s="570" t="s">
        <v>559</v>
      </c>
      <c r="D38" s="572">
        <v>10.95</v>
      </c>
      <c r="E38" s="572">
        <v>9.2560000000000002</v>
      </c>
      <c r="F38" s="327">
        <f t="shared" si="48"/>
        <v>1.6939999999999991</v>
      </c>
      <c r="G38" s="570" t="s">
        <v>558</v>
      </c>
      <c r="H38" s="572">
        <v>10.96</v>
      </c>
      <c r="I38" s="572">
        <v>9.1210000000000004</v>
      </c>
      <c r="J38" s="327">
        <f t="shared" si="49"/>
        <v>1.8390000000000004</v>
      </c>
      <c r="K38" s="343">
        <f t="shared" si="50"/>
        <v>2</v>
      </c>
      <c r="L38" s="570">
        <v>33</v>
      </c>
      <c r="M38" s="570">
        <v>450</v>
      </c>
      <c r="N38" s="345">
        <f t="shared" si="51"/>
        <v>226</v>
      </c>
      <c r="O38" s="345">
        <v>109</v>
      </c>
      <c r="P38" s="346">
        <f t="shared" si="52"/>
        <v>117</v>
      </c>
      <c r="Q38" s="332" t="str">
        <f t="shared" si="5"/>
        <v/>
      </c>
      <c r="R38" s="332" t="str">
        <f t="shared" si="6"/>
        <v/>
      </c>
      <c r="S38" s="333" t="str">
        <f t="shared" si="7"/>
        <v/>
      </c>
      <c r="T38" s="333" t="str">
        <f t="shared" si="8"/>
        <v/>
      </c>
      <c r="U38" s="333">
        <f t="shared" si="9"/>
        <v>3861</v>
      </c>
      <c r="V38" s="333" t="str">
        <f t="shared" si="10"/>
        <v/>
      </c>
      <c r="W38" s="333" t="str">
        <f t="shared" si="11"/>
        <v/>
      </c>
      <c r="X38" s="333" t="str">
        <f t="shared" si="12"/>
        <v/>
      </c>
      <c r="Y38" s="333" t="str">
        <f t="shared" si="13"/>
        <v/>
      </c>
      <c r="Z38" s="333" t="str">
        <f t="shared" si="14"/>
        <v/>
      </c>
      <c r="AA38" s="333" t="str">
        <f t="shared" si="15"/>
        <v/>
      </c>
      <c r="AB38" s="333" t="str">
        <f t="shared" si="16"/>
        <v/>
      </c>
      <c r="AC38" s="334" t="str">
        <f t="shared" si="47"/>
        <v/>
      </c>
      <c r="AD38" s="335"/>
      <c r="AE38" s="336">
        <f t="shared" si="53"/>
        <v>5.2457625000000005</v>
      </c>
      <c r="AF38" s="337">
        <f t="shared" si="54"/>
        <v>46.035000000000004</v>
      </c>
      <c r="AG38" s="338">
        <f t="shared" si="55"/>
        <v>34.526250000000005</v>
      </c>
      <c r="AH38" s="339">
        <v>145</v>
      </c>
      <c r="AI38" s="340">
        <v>189</v>
      </c>
      <c r="AJ38" s="340">
        <v>195</v>
      </c>
      <c r="AK38" s="340">
        <v>212</v>
      </c>
      <c r="AL38" s="340">
        <v>226</v>
      </c>
      <c r="AM38" s="340">
        <v>234</v>
      </c>
      <c r="AN38" s="340">
        <v>250</v>
      </c>
      <c r="AO38" s="340">
        <v>268</v>
      </c>
      <c r="AP38" s="340">
        <v>298</v>
      </c>
      <c r="AQ38" s="340">
        <v>378</v>
      </c>
      <c r="AR38" s="340">
        <v>428</v>
      </c>
      <c r="AS38" s="340">
        <v>538</v>
      </c>
      <c r="AT38" s="341">
        <v>598</v>
      </c>
      <c r="AU38" s="339">
        <f t="shared" si="56"/>
        <v>0</v>
      </c>
      <c r="AV38" s="340">
        <f t="shared" si="57"/>
        <v>0</v>
      </c>
      <c r="AW38" s="340">
        <f t="shared" si="58"/>
        <v>0</v>
      </c>
      <c r="AX38" s="340">
        <f t="shared" si="59"/>
        <v>0</v>
      </c>
      <c r="AY38" s="340">
        <f t="shared" si="60"/>
        <v>226</v>
      </c>
      <c r="AZ38" s="340">
        <f t="shared" si="61"/>
        <v>0</v>
      </c>
      <c r="BA38" s="340">
        <f t="shared" si="62"/>
        <v>0</v>
      </c>
      <c r="BB38" s="340">
        <f t="shared" si="63"/>
        <v>0</v>
      </c>
      <c r="BC38" s="340">
        <f t="shared" si="64"/>
        <v>0</v>
      </c>
      <c r="BD38" s="340">
        <f t="shared" si="65"/>
        <v>0</v>
      </c>
      <c r="BE38" s="340">
        <f t="shared" si="66"/>
        <v>0</v>
      </c>
      <c r="BF38" s="340">
        <f t="shared" si="67"/>
        <v>0</v>
      </c>
      <c r="BG38" s="340">
        <f t="shared" si="68"/>
        <v>0</v>
      </c>
      <c r="BH38" s="339" t="str">
        <f t="shared" si="34"/>
        <v/>
      </c>
      <c r="BI38" s="340" t="str">
        <f t="shared" si="35"/>
        <v/>
      </c>
      <c r="BJ38" s="340" t="str">
        <f t="shared" si="36"/>
        <v/>
      </c>
      <c r="BK38" s="340" t="str">
        <f t="shared" si="37"/>
        <v/>
      </c>
      <c r="BL38" s="340">
        <f t="shared" si="38"/>
        <v>33</v>
      </c>
      <c r="BM38" s="340" t="str">
        <f t="shared" si="39"/>
        <v/>
      </c>
      <c r="BN38" s="340" t="str">
        <f t="shared" si="40"/>
        <v/>
      </c>
      <c r="BO38" s="340" t="str">
        <f t="shared" si="41"/>
        <v/>
      </c>
      <c r="BP38" s="340" t="str">
        <f t="shared" si="42"/>
        <v/>
      </c>
      <c r="BQ38" s="340" t="str">
        <f t="shared" si="43"/>
        <v/>
      </c>
      <c r="BR38" s="340" t="str">
        <f t="shared" si="44"/>
        <v/>
      </c>
      <c r="BS38" s="340" t="str">
        <f t="shared" si="45"/>
        <v/>
      </c>
      <c r="BT38" s="341" t="str">
        <f t="shared" si="46"/>
        <v/>
      </c>
      <c r="BU38" s="324"/>
    </row>
    <row r="39" spans="1:73" s="342" customFormat="1">
      <c r="A39" s="324"/>
      <c r="B39" s="324"/>
      <c r="C39" s="570" t="s">
        <v>558</v>
      </c>
      <c r="D39" s="572">
        <v>10.96</v>
      </c>
      <c r="E39" s="572">
        <v>9.1210000000000004</v>
      </c>
      <c r="F39" s="327">
        <f t="shared" si="48"/>
        <v>1.8390000000000004</v>
      </c>
      <c r="G39" s="570" t="s">
        <v>554</v>
      </c>
      <c r="H39" s="572">
        <v>11.2</v>
      </c>
      <c r="I39" s="572">
        <v>8.8789999999999996</v>
      </c>
      <c r="J39" s="327">
        <f t="shared" si="49"/>
        <v>2.3209999999999997</v>
      </c>
      <c r="K39" s="343">
        <f t="shared" si="50"/>
        <v>2.25</v>
      </c>
      <c r="L39" s="570">
        <v>41</v>
      </c>
      <c r="M39" s="570">
        <v>450</v>
      </c>
      <c r="N39" s="345">
        <f t="shared" si="51"/>
        <v>341</v>
      </c>
      <c r="O39" s="345">
        <v>109</v>
      </c>
      <c r="P39" s="346">
        <f t="shared" si="52"/>
        <v>232</v>
      </c>
      <c r="Q39" s="332" t="str">
        <f t="shared" si="5"/>
        <v/>
      </c>
      <c r="R39" s="332" t="str">
        <f t="shared" si="6"/>
        <v/>
      </c>
      <c r="S39" s="333" t="str">
        <f t="shared" si="7"/>
        <v/>
      </c>
      <c r="T39" s="333" t="str">
        <f t="shared" si="8"/>
        <v/>
      </c>
      <c r="U39" s="333">
        <f t="shared" si="9"/>
        <v>9512</v>
      </c>
      <c r="V39" s="333" t="str">
        <f t="shared" si="10"/>
        <v/>
      </c>
      <c r="W39" s="333" t="str">
        <f t="shared" si="11"/>
        <v/>
      </c>
      <c r="X39" s="333" t="str">
        <f t="shared" si="12"/>
        <v/>
      </c>
      <c r="Y39" s="333" t="str">
        <f t="shared" si="13"/>
        <v/>
      </c>
      <c r="Z39" s="333" t="str">
        <f t="shared" si="14"/>
        <v/>
      </c>
      <c r="AA39" s="333" t="str">
        <f t="shared" si="15"/>
        <v/>
      </c>
      <c r="AB39" s="333" t="str">
        <f t="shared" si="16"/>
        <v/>
      </c>
      <c r="AC39" s="334" t="str">
        <f t="shared" si="47"/>
        <v/>
      </c>
      <c r="AD39" s="335"/>
      <c r="AE39" s="336">
        <f t="shared" si="53"/>
        <v>6.5174625000000006</v>
      </c>
      <c r="AF39" s="337">
        <f t="shared" si="54"/>
        <v>66.42</v>
      </c>
      <c r="AG39" s="338">
        <f t="shared" si="55"/>
        <v>42.896250000000002</v>
      </c>
      <c r="AH39" s="339">
        <v>240</v>
      </c>
      <c r="AI39" s="340">
        <v>296</v>
      </c>
      <c r="AJ39" s="340">
        <v>311</v>
      </c>
      <c r="AK39" s="340">
        <v>336</v>
      </c>
      <c r="AL39" s="340">
        <v>341</v>
      </c>
      <c r="AM39" s="340">
        <v>337</v>
      </c>
      <c r="AN39" s="340">
        <v>352</v>
      </c>
      <c r="AO39" s="340">
        <v>370</v>
      </c>
      <c r="AP39" s="340">
        <v>414</v>
      </c>
      <c r="AQ39" s="340">
        <v>494</v>
      </c>
      <c r="AR39" s="340">
        <v>544</v>
      </c>
      <c r="AS39" s="340">
        <v>643</v>
      </c>
      <c r="AT39" s="341">
        <v>703</v>
      </c>
      <c r="AU39" s="339">
        <f t="shared" si="56"/>
        <v>0</v>
      </c>
      <c r="AV39" s="340">
        <f t="shared" si="57"/>
        <v>0</v>
      </c>
      <c r="AW39" s="340">
        <f t="shared" si="58"/>
        <v>0</v>
      </c>
      <c r="AX39" s="340">
        <f t="shared" si="59"/>
        <v>0</v>
      </c>
      <c r="AY39" s="340">
        <f t="shared" si="60"/>
        <v>341</v>
      </c>
      <c r="AZ39" s="340">
        <f t="shared" si="61"/>
        <v>0</v>
      </c>
      <c r="BA39" s="340">
        <f t="shared" si="62"/>
        <v>0</v>
      </c>
      <c r="BB39" s="340">
        <f t="shared" si="63"/>
        <v>0</v>
      </c>
      <c r="BC39" s="340">
        <f t="shared" si="64"/>
        <v>0</v>
      </c>
      <c r="BD39" s="340">
        <f t="shared" si="65"/>
        <v>0</v>
      </c>
      <c r="BE39" s="340">
        <f t="shared" si="66"/>
        <v>0</v>
      </c>
      <c r="BF39" s="340">
        <f t="shared" si="67"/>
        <v>0</v>
      </c>
      <c r="BG39" s="340">
        <f t="shared" si="68"/>
        <v>0</v>
      </c>
      <c r="BH39" s="339" t="str">
        <f t="shared" si="34"/>
        <v/>
      </c>
      <c r="BI39" s="340" t="str">
        <f t="shared" si="35"/>
        <v/>
      </c>
      <c r="BJ39" s="340" t="str">
        <f t="shared" si="36"/>
        <v/>
      </c>
      <c r="BK39" s="340" t="str">
        <f t="shared" si="37"/>
        <v/>
      </c>
      <c r="BL39" s="340">
        <f t="shared" si="38"/>
        <v>41</v>
      </c>
      <c r="BM39" s="340" t="str">
        <f t="shared" si="39"/>
        <v/>
      </c>
      <c r="BN39" s="340" t="str">
        <f t="shared" si="40"/>
        <v/>
      </c>
      <c r="BO39" s="340" t="str">
        <f t="shared" si="41"/>
        <v/>
      </c>
      <c r="BP39" s="340" t="str">
        <f t="shared" si="42"/>
        <v/>
      </c>
      <c r="BQ39" s="340" t="str">
        <f t="shared" si="43"/>
        <v/>
      </c>
      <c r="BR39" s="340" t="str">
        <f t="shared" si="44"/>
        <v/>
      </c>
      <c r="BS39" s="340" t="str">
        <f t="shared" si="45"/>
        <v/>
      </c>
      <c r="BT39" s="341" t="str">
        <f t="shared" si="46"/>
        <v/>
      </c>
      <c r="BU39" s="324"/>
    </row>
    <row r="40" spans="1:73" s="342" customFormat="1">
      <c r="A40" s="324"/>
      <c r="B40" s="324"/>
      <c r="C40" s="570"/>
      <c r="D40" s="572"/>
      <c r="E40" s="572"/>
      <c r="F40" s="327">
        <f t="shared" si="48"/>
        <v>0</v>
      </c>
      <c r="G40" s="570"/>
      <c r="H40" s="572"/>
      <c r="I40" s="572"/>
      <c r="J40" s="327">
        <f t="shared" si="49"/>
        <v>0</v>
      </c>
      <c r="K40" s="343">
        <f t="shared" si="50"/>
        <v>0</v>
      </c>
      <c r="L40" s="570"/>
      <c r="M40" s="570"/>
      <c r="N40" s="345">
        <f t="shared" si="51"/>
        <v>0</v>
      </c>
      <c r="O40" s="345">
        <v>109</v>
      </c>
      <c r="P40" s="346">
        <f t="shared" si="52"/>
        <v>0</v>
      </c>
      <c r="Q40" s="332" t="str">
        <f t="shared" si="5"/>
        <v/>
      </c>
      <c r="R40" s="332" t="str">
        <f t="shared" si="6"/>
        <v/>
      </c>
      <c r="S40" s="333" t="str">
        <f t="shared" si="7"/>
        <v/>
      </c>
      <c r="T40" s="333" t="str">
        <f t="shared" si="8"/>
        <v/>
      </c>
      <c r="U40" s="333" t="str">
        <f t="shared" si="9"/>
        <v/>
      </c>
      <c r="V40" s="333" t="str">
        <f t="shared" si="10"/>
        <v/>
      </c>
      <c r="W40" s="333" t="str">
        <f t="shared" si="11"/>
        <v/>
      </c>
      <c r="X40" s="333" t="str">
        <f t="shared" si="12"/>
        <v/>
      </c>
      <c r="Y40" s="333" t="str">
        <f t="shared" si="13"/>
        <v/>
      </c>
      <c r="Z40" s="333" t="str">
        <f t="shared" si="14"/>
        <v/>
      </c>
      <c r="AA40" s="333" t="str">
        <f t="shared" si="15"/>
        <v/>
      </c>
      <c r="AB40" s="333" t="str">
        <f t="shared" si="16"/>
        <v/>
      </c>
      <c r="AC40" s="334" t="str">
        <f t="shared" si="47"/>
        <v/>
      </c>
      <c r="AD40" s="335"/>
      <c r="AE40" s="336">
        <f t="shared" si="53"/>
        <v>0</v>
      </c>
      <c r="AF40" s="337">
        <f t="shared" si="54"/>
        <v>0</v>
      </c>
      <c r="AG40" s="338">
        <f t="shared" si="55"/>
        <v>0</v>
      </c>
      <c r="AH40" s="339">
        <v>281</v>
      </c>
      <c r="AI40" s="340">
        <v>356</v>
      </c>
      <c r="AJ40" s="340">
        <v>0</v>
      </c>
      <c r="AK40" s="340">
        <v>0</v>
      </c>
      <c r="AL40" s="340">
        <v>414</v>
      </c>
      <c r="AM40" s="340">
        <v>417</v>
      </c>
      <c r="AN40" s="340">
        <v>420</v>
      </c>
      <c r="AO40" s="340">
        <v>438</v>
      </c>
      <c r="AP40" s="340">
        <v>482</v>
      </c>
      <c r="AQ40" s="340">
        <v>562</v>
      </c>
      <c r="AR40" s="340">
        <v>612</v>
      </c>
      <c r="AS40" s="340">
        <v>721</v>
      </c>
      <c r="AT40" s="341">
        <v>781</v>
      </c>
      <c r="AU40" s="339">
        <f t="shared" si="56"/>
        <v>0</v>
      </c>
      <c r="AV40" s="340">
        <f t="shared" si="57"/>
        <v>0</v>
      </c>
      <c r="AW40" s="340">
        <f t="shared" si="58"/>
        <v>0</v>
      </c>
      <c r="AX40" s="340">
        <f t="shared" si="59"/>
        <v>0</v>
      </c>
      <c r="AY40" s="340">
        <f t="shared" si="60"/>
        <v>0</v>
      </c>
      <c r="AZ40" s="340">
        <f t="shared" si="61"/>
        <v>0</v>
      </c>
      <c r="BA40" s="340">
        <f t="shared" si="62"/>
        <v>0</v>
      </c>
      <c r="BB40" s="340">
        <f t="shared" si="63"/>
        <v>0</v>
      </c>
      <c r="BC40" s="340">
        <f t="shared" si="64"/>
        <v>0</v>
      </c>
      <c r="BD40" s="340">
        <f t="shared" si="65"/>
        <v>0</v>
      </c>
      <c r="BE40" s="340">
        <f t="shared" si="66"/>
        <v>0</v>
      </c>
      <c r="BF40" s="340">
        <f t="shared" si="67"/>
        <v>0</v>
      </c>
      <c r="BG40" s="340">
        <f t="shared" si="68"/>
        <v>0</v>
      </c>
      <c r="BH40" s="339" t="str">
        <f t="shared" si="34"/>
        <v/>
      </c>
      <c r="BI40" s="340" t="str">
        <f t="shared" si="35"/>
        <v/>
      </c>
      <c r="BJ40" s="340" t="str">
        <f t="shared" si="36"/>
        <v/>
      </c>
      <c r="BK40" s="340" t="str">
        <f t="shared" si="37"/>
        <v/>
      </c>
      <c r="BL40" s="340" t="str">
        <f t="shared" si="38"/>
        <v/>
      </c>
      <c r="BM40" s="340" t="str">
        <f t="shared" si="39"/>
        <v/>
      </c>
      <c r="BN40" s="340" t="str">
        <f t="shared" si="40"/>
        <v/>
      </c>
      <c r="BO40" s="340" t="str">
        <f t="shared" si="41"/>
        <v/>
      </c>
      <c r="BP40" s="340" t="str">
        <f t="shared" si="42"/>
        <v/>
      </c>
      <c r="BQ40" s="340" t="str">
        <f t="shared" si="43"/>
        <v/>
      </c>
      <c r="BR40" s="340" t="str">
        <f t="shared" si="44"/>
        <v/>
      </c>
      <c r="BS40" s="340" t="str">
        <f t="shared" si="45"/>
        <v/>
      </c>
      <c r="BT40" s="341" t="str">
        <f t="shared" si="46"/>
        <v/>
      </c>
      <c r="BU40" s="324"/>
    </row>
    <row r="41" spans="1:73" s="342" customFormat="1">
      <c r="A41" s="324"/>
      <c r="B41" s="324"/>
      <c r="C41" s="570" t="s">
        <v>557</v>
      </c>
      <c r="D41" s="572">
        <v>11.3</v>
      </c>
      <c r="E41" s="572">
        <v>9.3829999999999991</v>
      </c>
      <c r="F41" s="327">
        <f t="shared" si="48"/>
        <v>1.9170000000000016</v>
      </c>
      <c r="G41" s="570" t="s">
        <v>556</v>
      </c>
      <c r="H41" s="572">
        <v>11.28</v>
      </c>
      <c r="I41" s="572">
        <v>9.3140000000000001</v>
      </c>
      <c r="J41" s="327">
        <f t="shared" si="49"/>
        <v>1.9659999999999993</v>
      </c>
      <c r="K41" s="343">
        <f t="shared" si="50"/>
        <v>2</v>
      </c>
      <c r="L41" s="570">
        <v>12</v>
      </c>
      <c r="M41" s="570">
        <v>225</v>
      </c>
      <c r="N41" s="345">
        <f t="shared" si="51"/>
        <v>240</v>
      </c>
      <c r="O41" s="345">
        <v>109</v>
      </c>
      <c r="P41" s="346">
        <f t="shared" si="52"/>
        <v>131</v>
      </c>
      <c r="Q41" s="332" t="str">
        <f t="shared" si="5"/>
        <v/>
      </c>
      <c r="R41" s="332">
        <f t="shared" si="6"/>
        <v>1572</v>
      </c>
      <c r="S41" s="333" t="str">
        <f t="shared" si="7"/>
        <v/>
      </c>
      <c r="T41" s="333" t="str">
        <f t="shared" si="8"/>
        <v/>
      </c>
      <c r="U41" s="333" t="str">
        <f t="shared" si="9"/>
        <v/>
      </c>
      <c r="V41" s="333" t="str">
        <f t="shared" si="10"/>
        <v/>
      </c>
      <c r="W41" s="333" t="str">
        <f t="shared" si="11"/>
        <v/>
      </c>
      <c r="X41" s="333" t="str">
        <f t="shared" si="12"/>
        <v/>
      </c>
      <c r="Y41" s="333" t="str">
        <f t="shared" si="13"/>
        <v/>
      </c>
      <c r="Z41" s="333" t="str">
        <f t="shared" si="14"/>
        <v/>
      </c>
      <c r="AA41" s="333" t="str">
        <f t="shared" si="15"/>
        <v/>
      </c>
      <c r="AB41" s="333" t="str">
        <f t="shared" si="16"/>
        <v/>
      </c>
      <c r="AC41" s="334" t="str">
        <f t="shared" si="47"/>
        <v/>
      </c>
      <c r="AD41" s="335"/>
      <c r="AE41" s="336">
        <f t="shared" si="53"/>
        <v>0.47688750000000002</v>
      </c>
      <c r="AF41" s="337">
        <f t="shared" si="54"/>
        <v>12.555000000000001</v>
      </c>
      <c r="AG41" s="338">
        <f t="shared" si="55"/>
        <v>12.555000000000001</v>
      </c>
      <c r="AH41" s="339">
        <v>204</v>
      </c>
      <c r="AI41" s="340">
        <v>240</v>
      </c>
      <c r="AJ41" s="340">
        <v>271</v>
      </c>
      <c r="AK41" s="340">
        <v>285</v>
      </c>
      <c r="AL41" s="340">
        <v>289</v>
      </c>
      <c r="AM41" s="340">
        <v>291</v>
      </c>
      <c r="AN41" s="340">
        <v>318</v>
      </c>
      <c r="AO41" s="340">
        <v>336</v>
      </c>
      <c r="AP41" s="340">
        <v>380</v>
      </c>
      <c r="AQ41" s="340">
        <v>460</v>
      </c>
      <c r="AR41" s="340">
        <v>510</v>
      </c>
      <c r="AS41" s="340">
        <v>609</v>
      </c>
      <c r="AT41" s="341">
        <v>669</v>
      </c>
      <c r="AU41" s="339">
        <f t="shared" si="56"/>
        <v>0</v>
      </c>
      <c r="AV41" s="340">
        <f t="shared" si="57"/>
        <v>240</v>
      </c>
      <c r="AW41" s="340">
        <f t="shared" si="58"/>
        <v>0</v>
      </c>
      <c r="AX41" s="340">
        <f t="shared" si="59"/>
        <v>0</v>
      </c>
      <c r="AY41" s="340">
        <f t="shared" si="60"/>
        <v>0</v>
      </c>
      <c r="AZ41" s="340">
        <f t="shared" si="61"/>
        <v>0</v>
      </c>
      <c r="BA41" s="340">
        <f t="shared" si="62"/>
        <v>0</v>
      </c>
      <c r="BB41" s="340">
        <f t="shared" si="63"/>
        <v>0</v>
      </c>
      <c r="BC41" s="340">
        <f t="shared" si="64"/>
        <v>0</v>
      </c>
      <c r="BD41" s="340">
        <f t="shared" si="65"/>
        <v>0</v>
      </c>
      <c r="BE41" s="340">
        <f t="shared" si="66"/>
        <v>0</v>
      </c>
      <c r="BF41" s="340">
        <f t="shared" si="67"/>
        <v>0</v>
      </c>
      <c r="BG41" s="340">
        <f t="shared" si="68"/>
        <v>0</v>
      </c>
      <c r="BH41" s="339" t="str">
        <f t="shared" si="34"/>
        <v/>
      </c>
      <c r="BI41" s="340">
        <f t="shared" si="35"/>
        <v>12</v>
      </c>
      <c r="BJ41" s="340" t="str">
        <f t="shared" si="36"/>
        <v/>
      </c>
      <c r="BK41" s="340" t="str">
        <f t="shared" si="37"/>
        <v/>
      </c>
      <c r="BL41" s="340" t="str">
        <f t="shared" si="38"/>
        <v/>
      </c>
      <c r="BM41" s="340" t="str">
        <f t="shared" si="39"/>
        <v/>
      </c>
      <c r="BN41" s="340" t="str">
        <f t="shared" si="40"/>
        <v/>
      </c>
      <c r="BO41" s="340" t="str">
        <f t="shared" si="41"/>
        <v/>
      </c>
      <c r="BP41" s="340" t="str">
        <f t="shared" si="42"/>
        <v/>
      </c>
      <c r="BQ41" s="340" t="str">
        <f t="shared" si="43"/>
        <v/>
      </c>
      <c r="BR41" s="340" t="str">
        <f t="shared" si="44"/>
        <v/>
      </c>
      <c r="BS41" s="340" t="str">
        <f t="shared" si="45"/>
        <v/>
      </c>
      <c r="BT41" s="341" t="str">
        <f t="shared" si="46"/>
        <v/>
      </c>
      <c r="BU41" s="324"/>
    </row>
    <row r="42" spans="1:73" s="342" customFormat="1">
      <c r="A42" s="324"/>
      <c r="B42" s="324"/>
      <c r="C42" s="570" t="s">
        <v>556</v>
      </c>
      <c r="D42" s="572">
        <v>11.28</v>
      </c>
      <c r="E42" s="572">
        <v>9.3140000000000001</v>
      </c>
      <c r="F42" s="327">
        <f t="shared" si="48"/>
        <v>1.9659999999999993</v>
      </c>
      <c r="G42" s="570" t="s">
        <v>555</v>
      </c>
      <c r="H42" s="572">
        <v>11.15</v>
      </c>
      <c r="I42" s="572">
        <v>9.1720000000000006</v>
      </c>
      <c r="J42" s="327">
        <f t="shared" si="49"/>
        <v>1.9779999999999998</v>
      </c>
      <c r="K42" s="343">
        <f t="shared" si="50"/>
        <v>2</v>
      </c>
      <c r="L42" s="570">
        <v>11</v>
      </c>
      <c r="M42" s="570">
        <v>225</v>
      </c>
      <c r="N42" s="345">
        <f t="shared" si="51"/>
        <v>195</v>
      </c>
      <c r="O42" s="345">
        <v>109</v>
      </c>
      <c r="P42" s="346">
        <f t="shared" si="52"/>
        <v>86</v>
      </c>
      <c r="Q42" s="332" t="str">
        <f t="shared" si="5"/>
        <v/>
      </c>
      <c r="R42" s="332">
        <f t="shared" si="6"/>
        <v>946</v>
      </c>
      <c r="S42" s="333" t="str">
        <f t="shared" si="7"/>
        <v/>
      </c>
      <c r="T42" s="333" t="str">
        <f t="shared" si="8"/>
        <v/>
      </c>
      <c r="U42" s="333" t="str">
        <f t="shared" si="9"/>
        <v/>
      </c>
      <c r="V42" s="333" t="str">
        <f t="shared" si="10"/>
        <v/>
      </c>
      <c r="W42" s="333" t="str">
        <f t="shared" si="11"/>
        <v/>
      </c>
      <c r="X42" s="333" t="str">
        <f t="shared" si="12"/>
        <v/>
      </c>
      <c r="Y42" s="333" t="str">
        <f t="shared" si="13"/>
        <v/>
      </c>
      <c r="Z42" s="333" t="str">
        <f t="shared" si="14"/>
        <v/>
      </c>
      <c r="AA42" s="333" t="str">
        <f t="shared" si="15"/>
        <v/>
      </c>
      <c r="AB42" s="333" t="str">
        <f t="shared" si="16"/>
        <v/>
      </c>
      <c r="AC42" s="334" t="str">
        <f t="shared" si="47"/>
        <v/>
      </c>
      <c r="AD42" s="335"/>
      <c r="AE42" s="336">
        <f t="shared" si="53"/>
        <v>0.43714687500000005</v>
      </c>
      <c r="AF42" s="337">
        <f t="shared" si="54"/>
        <v>11.508750000000001</v>
      </c>
      <c r="AG42" s="338">
        <f t="shared" si="55"/>
        <v>11.508750000000001</v>
      </c>
      <c r="AH42" s="339">
        <v>165</v>
      </c>
      <c r="AI42" s="340">
        <v>195</v>
      </c>
      <c r="AJ42" s="340">
        <v>219</v>
      </c>
      <c r="AK42" s="340">
        <v>225</v>
      </c>
      <c r="AL42" s="340">
        <v>247</v>
      </c>
      <c r="AM42" s="340">
        <v>242</v>
      </c>
      <c r="AN42" s="340">
        <v>267</v>
      </c>
      <c r="AO42" s="340">
        <v>285</v>
      </c>
      <c r="AP42" s="340">
        <v>317</v>
      </c>
      <c r="AQ42" s="340">
        <v>397</v>
      </c>
      <c r="AR42" s="340">
        <v>447</v>
      </c>
      <c r="AS42" s="340">
        <v>560</v>
      </c>
      <c r="AT42" s="341">
        <v>620</v>
      </c>
      <c r="AU42" s="339">
        <f t="shared" si="56"/>
        <v>0</v>
      </c>
      <c r="AV42" s="340">
        <f t="shared" si="57"/>
        <v>195</v>
      </c>
      <c r="AW42" s="340">
        <f t="shared" si="58"/>
        <v>0</v>
      </c>
      <c r="AX42" s="340">
        <f t="shared" si="59"/>
        <v>0</v>
      </c>
      <c r="AY42" s="340">
        <f t="shared" si="60"/>
        <v>0</v>
      </c>
      <c r="AZ42" s="340">
        <f t="shared" si="61"/>
        <v>0</v>
      </c>
      <c r="BA42" s="340">
        <f t="shared" si="62"/>
        <v>0</v>
      </c>
      <c r="BB42" s="340">
        <f t="shared" si="63"/>
        <v>0</v>
      </c>
      <c r="BC42" s="340">
        <f t="shared" si="64"/>
        <v>0</v>
      </c>
      <c r="BD42" s="340">
        <f t="shared" si="65"/>
        <v>0</v>
      </c>
      <c r="BE42" s="340">
        <f t="shared" si="66"/>
        <v>0</v>
      </c>
      <c r="BF42" s="340">
        <f t="shared" si="67"/>
        <v>0</v>
      </c>
      <c r="BG42" s="340">
        <f t="shared" si="68"/>
        <v>0</v>
      </c>
      <c r="BH42" s="339" t="str">
        <f t="shared" si="34"/>
        <v/>
      </c>
      <c r="BI42" s="340">
        <f t="shared" si="35"/>
        <v>11</v>
      </c>
      <c r="BJ42" s="340" t="str">
        <f t="shared" si="36"/>
        <v/>
      </c>
      <c r="BK42" s="340" t="str">
        <f t="shared" si="37"/>
        <v/>
      </c>
      <c r="BL42" s="340" t="str">
        <f t="shared" si="38"/>
        <v/>
      </c>
      <c r="BM42" s="340" t="str">
        <f t="shared" si="39"/>
        <v/>
      </c>
      <c r="BN42" s="340" t="str">
        <f t="shared" si="40"/>
        <v/>
      </c>
      <c r="BO42" s="340" t="str">
        <f t="shared" si="41"/>
        <v/>
      </c>
      <c r="BP42" s="340" t="str">
        <f t="shared" si="42"/>
        <v/>
      </c>
      <c r="BQ42" s="340" t="str">
        <f t="shared" si="43"/>
        <v/>
      </c>
      <c r="BR42" s="340" t="str">
        <f t="shared" si="44"/>
        <v/>
      </c>
      <c r="BS42" s="340" t="str">
        <f t="shared" si="45"/>
        <v/>
      </c>
      <c r="BT42" s="341" t="str">
        <f t="shared" si="46"/>
        <v/>
      </c>
      <c r="BU42" s="324"/>
    </row>
    <row r="43" spans="1:73" s="342" customFormat="1">
      <c r="A43" s="324"/>
      <c r="B43" s="324"/>
      <c r="C43" s="570" t="s">
        <v>555</v>
      </c>
      <c r="D43" s="572">
        <v>11.15</v>
      </c>
      <c r="E43" s="572">
        <v>9.1720000000000006</v>
      </c>
      <c r="F43" s="327">
        <f t="shared" si="48"/>
        <v>1.9779999999999998</v>
      </c>
      <c r="G43" s="570" t="s">
        <v>554</v>
      </c>
      <c r="H43" s="572">
        <v>11.2</v>
      </c>
      <c r="I43" s="572">
        <v>8.8789999999999996</v>
      </c>
      <c r="J43" s="327">
        <f t="shared" si="49"/>
        <v>2.3209999999999997</v>
      </c>
      <c r="K43" s="343">
        <f t="shared" si="50"/>
        <v>2.25</v>
      </c>
      <c r="L43" s="570">
        <v>12</v>
      </c>
      <c r="M43" s="570">
        <v>300</v>
      </c>
      <c r="N43" s="345">
        <f t="shared" si="51"/>
        <v>219</v>
      </c>
      <c r="O43" s="345">
        <v>109</v>
      </c>
      <c r="P43" s="346">
        <f t="shared" si="52"/>
        <v>110</v>
      </c>
      <c r="Q43" s="332" t="str">
        <f t="shared" si="5"/>
        <v/>
      </c>
      <c r="R43" s="332" t="str">
        <f t="shared" si="6"/>
        <v/>
      </c>
      <c r="S43" s="333">
        <f t="shared" si="7"/>
        <v>1320</v>
      </c>
      <c r="T43" s="333" t="str">
        <f t="shared" si="8"/>
        <v/>
      </c>
      <c r="U43" s="333" t="str">
        <f t="shared" si="9"/>
        <v/>
      </c>
      <c r="V43" s="333" t="str">
        <f t="shared" si="10"/>
        <v/>
      </c>
      <c r="W43" s="333" t="str">
        <f t="shared" si="11"/>
        <v/>
      </c>
      <c r="X43" s="333" t="str">
        <f t="shared" si="12"/>
        <v/>
      </c>
      <c r="Y43" s="333" t="str">
        <f t="shared" si="13"/>
        <v/>
      </c>
      <c r="Z43" s="333" t="str">
        <f t="shared" si="14"/>
        <v/>
      </c>
      <c r="AA43" s="333" t="str">
        <f t="shared" si="15"/>
        <v/>
      </c>
      <c r="AB43" s="333" t="str">
        <f t="shared" si="16"/>
        <v/>
      </c>
      <c r="AC43" s="334" t="str">
        <f t="shared" si="47"/>
        <v/>
      </c>
      <c r="AD43" s="335"/>
      <c r="AE43" s="336">
        <f t="shared" si="53"/>
        <v>0.84780000000000011</v>
      </c>
      <c r="AF43" s="337">
        <f t="shared" si="54"/>
        <v>16.200000000000003</v>
      </c>
      <c r="AG43" s="338">
        <f t="shared" si="55"/>
        <v>12.555000000000001</v>
      </c>
      <c r="AH43" s="339">
        <v>165</v>
      </c>
      <c r="AI43" s="340">
        <v>195</v>
      </c>
      <c r="AJ43" s="340">
        <v>219</v>
      </c>
      <c r="AK43" s="340">
        <v>225</v>
      </c>
      <c r="AL43" s="340">
        <v>247</v>
      </c>
      <c r="AM43" s="340">
        <v>242</v>
      </c>
      <c r="AN43" s="340">
        <v>267</v>
      </c>
      <c r="AO43" s="340">
        <v>285</v>
      </c>
      <c r="AP43" s="340">
        <v>317</v>
      </c>
      <c r="AQ43" s="340">
        <v>397</v>
      </c>
      <c r="AR43" s="340">
        <v>447</v>
      </c>
      <c r="AS43" s="340">
        <v>560</v>
      </c>
      <c r="AT43" s="341">
        <v>620</v>
      </c>
      <c r="AU43" s="339">
        <f t="shared" si="56"/>
        <v>0</v>
      </c>
      <c r="AV43" s="340">
        <f t="shared" si="57"/>
        <v>0</v>
      </c>
      <c r="AW43" s="340">
        <f t="shared" si="58"/>
        <v>219</v>
      </c>
      <c r="AX43" s="340">
        <f t="shared" si="59"/>
        <v>0</v>
      </c>
      <c r="AY43" s="340">
        <f t="shared" si="60"/>
        <v>0</v>
      </c>
      <c r="AZ43" s="340">
        <f t="shared" si="61"/>
        <v>0</v>
      </c>
      <c r="BA43" s="340">
        <f t="shared" si="62"/>
        <v>0</v>
      </c>
      <c r="BB43" s="340">
        <f t="shared" si="63"/>
        <v>0</v>
      </c>
      <c r="BC43" s="340">
        <f t="shared" si="64"/>
        <v>0</v>
      </c>
      <c r="BD43" s="340">
        <f t="shared" si="65"/>
        <v>0</v>
      </c>
      <c r="BE43" s="340">
        <f t="shared" si="66"/>
        <v>0</v>
      </c>
      <c r="BF43" s="340">
        <f t="shared" si="67"/>
        <v>0</v>
      </c>
      <c r="BG43" s="340">
        <f t="shared" si="68"/>
        <v>0</v>
      </c>
      <c r="BH43" s="339" t="str">
        <f t="shared" si="34"/>
        <v/>
      </c>
      <c r="BI43" s="340" t="str">
        <f t="shared" si="35"/>
        <v/>
      </c>
      <c r="BJ43" s="340">
        <f t="shared" si="36"/>
        <v>12</v>
      </c>
      <c r="BK43" s="340" t="str">
        <f t="shared" si="37"/>
        <v/>
      </c>
      <c r="BL43" s="340" t="str">
        <f t="shared" si="38"/>
        <v/>
      </c>
      <c r="BM43" s="340" t="str">
        <f t="shared" si="39"/>
        <v/>
      </c>
      <c r="BN43" s="340" t="str">
        <f t="shared" si="40"/>
        <v/>
      </c>
      <c r="BO43" s="340" t="str">
        <f t="shared" si="41"/>
        <v/>
      </c>
      <c r="BP43" s="340" t="str">
        <f t="shared" si="42"/>
        <v/>
      </c>
      <c r="BQ43" s="340" t="str">
        <f t="shared" si="43"/>
        <v/>
      </c>
      <c r="BR43" s="340" t="str">
        <f t="shared" si="44"/>
        <v/>
      </c>
      <c r="BS43" s="340" t="str">
        <f t="shared" si="45"/>
        <v/>
      </c>
      <c r="BT43" s="341" t="str">
        <f t="shared" si="46"/>
        <v/>
      </c>
      <c r="BU43" s="324"/>
    </row>
    <row r="44" spans="1:73" s="342" customFormat="1">
      <c r="A44" s="324"/>
      <c r="B44" s="324"/>
      <c r="C44" s="570"/>
      <c r="D44" s="572"/>
      <c r="E44" s="572"/>
      <c r="F44" s="327">
        <f t="shared" si="48"/>
        <v>0</v>
      </c>
      <c r="G44" s="570"/>
      <c r="H44" s="572"/>
      <c r="I44" s="572"/>
      <c r="J44" s="327">
        <f t="shared" si="49"/>
        <v>0</v>
      </c>
      <c r="K44" s="343">
        <f t="shared" si="50"/>
        <v>0</v>
      </c>
      <c r="L44" s="570"/>
      <c r="M44" s="570"/>
      <c r="N44" s="345">
        <f t="shared" si="51"/>
        <v>0</v>
      </c>
      <c r="O44" s="345">
        <v>109</v>
      </c>
      <c r="P44" s="346">
        <f t="shared" si="52"/>
        <v>0</v>
      </c>
      <c r="Q44" s="332" t="str">
        <f t="shared" si="5"/>
        <v/>
      </c>
      <c r="R44" s="332" t="str">
        <f t="shared" si="6"/>
        <v/>
      </c>
      <c r="S44" s="333" t="str">
        <f t="shared" si="7"/>
        <v/>
      </c>
      <c r="T44" s="333" t="str">
        <f t="shared" si="8"/>
        <v/>
      </c>
      <c r="U44" s="333" t="str">
        <f t="shared" si="9"/>
        <v/>
      </c>
      <c r="V44" s="333" t="str">
        <f t="shared" si="10"/>
        <v/>
      </c>
      <c r="W44" s="333" t="str">
        <f t="shared" si="11"/>
        <v/>
      </c>
      <c r="X44" s="333" t="str">
        <f t="shared" si="12"/>
        <v/>
      </c>
      <c r="Y44" s="333" t="str">
        <f t="shared" si="13"/>
        <v/>
      </c>
      <c r="Z44" s="333" t="str">
        <f t="shared" si="14"/>
        <v/>
      </c>
      <c r="AA44" s="333" t="str">
        <f t="shared" si="15"/>
        <v/>
      </c>
      <c r="AB44" s="333" t="str">
        <f t="shared" si="16"/>
        <v/>
      </c>
      <c r="AC44" s="334" t="str">
        <f t="shared" si="47"/>
        <v/>
      </c>
      <c r="AD44" s="335"/>
      <c r="AE44" s="336">
        <f t="shared" si="53"/>
        <v>0</v>
      </c>
      <c r="AF44" s="337">
        <f t="shared" si="54"/>
        <v>0</v>
      </c>
      <c r="AG44" s="338">
        <f t="shared" si="55"/>
        <v>0</v>
      </c>
      <c r="AH44" s="339">
        <v>115</v>
      </c>
      <c r="AI44" s="340">
        <v>141</v>
      </c>
      <c r="AJ44" s="340">
        <v>160</v>
      </c>
      <c r="AK44" s="340">
        <v>195</v>
      </c>
      <c r="AL44" s="340">
        <v>205</v>
      </c>
      <c r="AM44" s="340">
        <v>197</v>
      </c>
      <c r="AN44" s="340">
        <v>216</v>
      </c>
      <c r="AO44" s="340">
        <v>234</v>
      </c>
      <c r="AP44" s="340">
        <v>264</v>
      </c>
      <c r="AQ44" s="340">
        <v>344</v>
      </c>
      <c r="AR44" s="340">
        <v>394</v>
      </c>
      <c r="AS44" s="340">
        <v>428</v>
      </c>
      <c r="AT44" s="341">
        <v>488</v>
      </c>
      <c r="AU44" s="339">
        <f t="shared" si="56"/>
        <v>0</v>
      </c>
      <c r="AV44" s="340">
        <f t="shared" si="57"/>
        <v>0</v>
      </c>
      <c r="AW44" s="340">
        <f t="shared" si="58"/>
        <v>0</v>
      </c>
      <c r="AX44" s="340">
        <f t="shared" si="59"/>
        <v>0</v>
      </c>
      <c r="AY44" s="340">
        <f t="shared" si="60"/>
        <v>0</v>
      </c>
      <c r="AZ44" s="340">
        <f t="shared" si="61"/>
        <v>0</v>
      </c>
      <c r="BA44" s="340">
        <f t="shared" si="62"/>
        <v>0</v>
      </c>
      <c r="BB44" s="340">
        <f t="shared" si="63"/>
        <v>0</v>
      </c>
      <c r="BC44" s="340">
        <f t="shared" si="64"/>
        <v>0</v>
      </c>
      <c r="BD44" s="340">
        <f t="shared" si="65"/>
        <v>0</v>
      </c>
      <c r="BE44" s="340">
        <f t="shared" si="66"/>
        <v>0</v>
      </c>
      <c r="BF44" s="340">
        <f t="shared" si="67"/>
        <v>0</v>
      </c>
      <c r="BG44" s="340">
        <f t="shared" si="68"/>
        <v>0</v>
      </c>
      <c r="BH44" s="339" t="str">
        <f t="shared" si="34"/>
        <v/>
      </c>
      <c r="BI44" s="340" t="str">
        <f t="shared" si="35"/>
        <v/>
      </c>
      <c r="BJ44" s="340" t="str">
        <f t="shared" si="36"/>
        <v/>
      </c>
      <c r="BK44" s="340" t="str">
        <f t="shared" si="37"/>
        <v/>
      </c>
      <c r="BL44" s="340" t="str">
        <f t="shared" si="38"/>
        <v/>
      </c>
      <c r="BM44" s="340" t="str">
        <f t="shared" si="39"/>
        <v/>
      </c>
      <c r="BN44" s="340" t="str">
        <f t="shared" si="40"/>
        <v/>
      </c>
      <c r="BO44" s="340" t="str">
        <f t="shared" si="41"/>
        <v/>
      </c>
      <c r="BP44" s="340" t="str">
        <f t="shared" si="42"/>
        <v/>
      </c>
      <c r="BQ44" s="340" t="str">
        <f t="shared" si="43"/>
        <v/>
      </c>
      <c r="BR44" s="340" t="str">
        <f t="shared" si="44"/>
        <v/>
      </c>
      <c r="BS44" s="340" t="str">
        <f t="shared" si="45"/>
        <v/>
      </c>
      <c r="BT44" s="341" t="str">
        <f t="shared" si="46"/>
        <v/>
      </c>
      <c r="BU44" s="324"/>
    </row>
    <row r="45" spans="1:73" s="342" customFormat="1">
      <c r="A45" s="324"/>
      <c r="B45" s="324"/>
      <c r="C45" s="570" t="s">
        <v>554</v>
      </c>
      <c r="D45" s="572">
        <v>11.2</v>
      </c>
      <c r="E45" s="572">
        <v>8.8789999999999996</v>
      </c>
      <c r="F45" s="327">
        <f t="shared" si="48"/>
        <v>2.3209999999999997</v>
      </c>
      <c r="G45" s="570" t="s">
        <v>553</v>
      </c>
      <c r="H45" s="572">
        <v>10.96</v>
      </c>
      <c r="I45" s="572">
        <v>8.8000000000000007</v>
      </c>
      <c r="J45" s="327">
        <f t="shared" si="49"/>
        <v>2.16</v>
      </c>
      <c r="K45" s="343">
        <f t="shared" si="50"/>
        <v>2.25</v>
      </c>
      <c r="L45" s="570">
        <v>19</v>
      </c>
      <c r="M45" s="570">
        <v>525</v>
      </c>
      <c r="N45" s="345">
        <f t="shared" si="51"/>
        <v>0</v>
      </c>
      <c r="O45" s="345">
        <v>0</v>
      </c>
      <c r="P45" s="346">
        <f t="shared" si="52"/>
        <v>0</v>
      </c>
      <c r="Q45" s="332" t="str">
        <f t="shared" si="5"/>
        <v/>
      </c>
      <c r="R45" s="332" t="str">
        <f t="shared" si="6"/>
        <v/>
      </c>
      <c r="S45" s="333" t="str">
        <f t="shared" si="7"/>
        <v/>
      </c>
      <c r="T45" s="333" t="str">
        <f t="shared" si="8"/>
        <v/>
      </c>
      <c r="U45" s="333" t="str">
        <f t="shared" si="9"/>
        <v/>
      </c>
      <c r="V45" s="333">
        <f t="shared" si="10"/>
        <v>0</v>
      </c>
      <c r="W45" s="333" t="str">
        <f t="shared" si="11"/>
        <v/>
      </c>
      <c r="X45" s="333" t="str">
        <f t="shared" si="12"/>
        <v/>
      </c>
      <c r="Y45" s="333" t="str">
        <f t="shared" si="13"/>
        <v/>
      </c>
      <c r="Z45" s="333" t="str">
        <f t="shared" si="14"/>
        <v/>
      </c>
      <c r="AA45" s="333" t="str">
        <f t="shared" si="15"/>
        <v/>
      </c>
      <c r="AB45" s="333" t="str">
        <f t="shared" si="16"/>
        <v/>
      </c>
      <c r="AC45" s="334" t="str">
        <f t="shared" si="47"/>
        <v/>
      </c>
      <c r="AD45" s="335"/>
      <c r="AE45" s="336">
        <f t="shared" si="53"/>
        <v>4.1109468749999998</v>
      </c>
      <c r="AF45" s="337">
        <f t="shared" si="54"/>
        <v>33.344999999999999</v>
      </c>
      <c r="AG45" s="338">
        <f t="shared" si="55"/>
        <v>19.878750000000004</v>
      </c>
      <c r="AH45" s="339">
        <v>0</v>
      </c>
      <c r="AI45" s="340">
        <v>0</v>
      </c>
      <c r="AJ45" s="340">
        <v>0</v>
      </c>
      <c r="AK45" s="340">
        <v>0</v>
      </c>
      <c r="AL45" s="340">
        <v>0</v>
      </c>
      <c r="AM45" s="340">
        <v>0</v>
      </c>
      <c r="AN45" s="340">
        <v>0</v>
      </c>
      <c r="AO45" s="340">
        <v>0</v>
      </c>
      <c r="AP45" s="340">
        <v>0</v>
      </c>
      <c r="AQ45" s="340">
        <v>0</v>
      </c>
      <c r="AR45" s="340">
        <v>0</v>
      </c>
      <c r="AS45" s="340">
        <v>0</v>
      </c>
      <c r="AT45" s="341">
        <v>0</v>
      </c>
      <c r="AU45" s="339">
        <f t="shared" si="56"/>
        <v>0</v>
      </c>
      <c r="AV45" s="340">
        <f t="shared" si="57"/>
        <v>0</v>
      </c>
      <c r="AW45" s="340">
        <f t="shared" si="58"/>
        <v>0</v>
      </c>
      <c r="AX45" s="340">
        <f t="shared" si="59"/>
        <v>0</v>
      </c>
      <c r="AY45" s="340">
        <f t="shared" si="60"/>
        <v>0</v>
      </c>
      <c r="AZ45" s="340">
        <f t="shared" si="61"/>
        <v>0</v>
      </c>
      <c r="BA45" s="340">
        <f t="shared" si="62"/>
        <v>0</v>
      </c>
      <c r="BB45" s="340">
        <f t="shared" si="63"/>
        <v>0</v>
      </c>
      <c r="BC45" s="340">
        <f t="shared" si="64"/>
        <v>0</v>
      </c>
      <c r="BD45" s="340">
        <f t="shared" si="65"/>
        <v>0</v>
      </c>
      <c r="BE45" s="340">
        <f t="shared" si="66"/>
        <v>0</v>
      </c>
      <c r="BF45" s="340">
        <f t="shared" si="67"/>
        <v>0</v>
      </c>
      <c r="BG45" s="340">
        <f t="shared" si="68"/>
        <v>0</v>
      </c>
      <c r="BH45" s="339" t="str">
        <f t="shared" si="34"/>
        <v/>
      </c>
      <c r="BI45" s="340" t="str">
        <f t="shared" si="35"/>
        <v/>
      </c>
      <c r="BJ45" s="340" t="str">
        <f t="shared" si="36"/>
        <v/>
      </c>
      <c r="BK45" s="340" t="str">
        <f t="shared" si="37"/>
        <v/>
      </c>
      <c r="BL45" s="340" t="str">
        <f t="shared" si="38"/>
        <v/>
      </c>
      <c r="BM45" s="340">
        <f t="shared" si="39"/>
        <v>19</v>
      </c>
      <c r="BN45" s="340" t="str">
        <f t="shared" si="40"/>
        <v/>
      </c>
      <c r="BO45" s="340" t="str">
        <f t="shared" si="41"/>
        <v/>
      </c>
      <c r="BP45" s="340" t="str">
        <f t="shared" si="42"/>
        <v/>
      </c>
      <c r="BQ45" s="340" t="str">
        <f t="shared" si="43"/>
        <v/>
      </c>
      <c r="BR45" s="340" t="str">
        <f t="shared" si="44"/>
        <v/>
      </c>
      <c r="BS45" s="340" t="str">
        <f t="shared" si="45"/>
        <v/>
      </c>
      <c r="BT45" s="341" t="str">
        <f t="shared" si="46"/>
        <v/>
      </c>
      <c r="BU45" s="324"/>
    </row>
    <row r="46" spans="1:73" s="342" customFormat="1">
      <c r="A46" s="324"/>
      <c r="B46" s="324"/>
      <c r="C46" s="570" t="s">
        <v>553</v>
      </c>
      <c r="D46" s="572">
        <v>10.96</v>
      </c>
      <c r="E46" s="572">
        <v>8.8000000000000007</v>
      </c>
      <c r="F46" s="327">
        <f t="shared" si="48"/>
        <v>2.16</v>
      </c>
      <c r="G46" s="570" t="s">
        <v>552</v>
      </c>
      <c r="H46" s="572">
        <v>10.76</v>
      </c>
      <c r="I46" s="572">
        <v>8.718</v>
      </c>
      <c r="J46" s="327">
        <f t="shared" si="49"/>
        <v>2.0419999999999998</v>
      </c>
      <c r="K46" s="343">
        <f t="shared" si="50"/>
        <v>2.25</v>
      </c>
      <c r="L46" s="570">
        <v>22</v>
      </c>
      <c r="M46" s="570">
        <v>525</v>
      </c>
      <c r="N46" s="345">
        <f t="shared" si="51"/>
        <v>0</v>
      </c>
      <c r="O46" s="345">
        <v>109</v>
      </c>
      <c r="P46" s="346">
        <f t="shared" si="52"/>
        <v>0</v>
      </c>
      <c r="Q46" s="332" t="str">
        <f t="shared" si="5"/>
        <v/>
      </c>
      <c r="R46" s="332" t="str">
        <f t="shared" si="6"/>
        <v/>
      </c>
      <c r="S46" s="333" t="str">
        <f t="shared" si="7"/>
        <v/>
      </c>
      <c r="T46" s="333" t="str">
        <f t="shared" si="8"/>
        <v/>
      </c>
      <c r="U46" s="333" t="str">
        <f t="shared" si="9"/>
        <v/>
      </c>
      <c r="V46" s="333">
        <f t="shared" si="10"/>
        <v>0</v>
      </c>
      <c r="W46" s="333" t="str">
        <f t="shared" si="11"/>
        <v/>
      </c>
      <c r="X46" s="333" t="str">
        <f t="shared" si="12"/>
        <v/>
      </c>
      <c r="Y46" s="333" t="str">
        <f t="shared" si="13"/>
        <v/>
      </c>
      <c r="Z46" s="333" t="str">
        <f t="shared" si="14"/>
        <v/>
      </c>
      <c r="AA46" s="333" t="str">
        <f t="shared" si="15"/>
        <v/>
      </c>
      <c r="AB46" s="333" t="str">
        <f t="shared" si="16"/>
        <v/>
      </c>
      <c r="AC46" s="334" t="str">
        <f t="shared" ref="AC46:AC68" si="69">IF($M46=$AC$7,$L46*$P46,"")</f>
        <v/>
      </c>
      <c r="AD46" s="335"/>
      <c r="AE46" s="336">
        <f t="shared" si="53"/>
        <v>4.7600437500000004</v>
      </c>
      <c r="AF46" s="337">
        <f t="shared" si="54"/>
        <v>38.61</v>
      </c>
      <c r="AG46" s="338">
        <f t="shared" si="55"/>
        <v>23.017500000000002</v>
      </c>
      <c r="AH46" s="339">
        <v>394</v>
      </c>
      <c r="AI46" s="340">
        <v>416</v>
      </c>
      <c r="AJ46" s="340">
        <v>0</v>
      </c>
      <c r="AK46" s="340">
        <v>0</v>
      </c>
      <c r="AL46" s="340">
        <v>0</v>
      </c>
      <c r="AM46" s="340">
        <v>0</v>
      </c>
      <c r="AN46" s="340">
        <v>488</v>
      </c>
      <c r="AO46" s="340">
        <v>506</v>
      </c>
      <c r="AP46" s="340">
        <v>550</v>
      </c>
      <c r="AQ46" s="340">
        <v>630</v>
      </c>
      <c r="AR46" s="340">
        <v>680</v>
      </c>
      <c r="AS46" s="340">
        <v>789</v>
      </c>
      <c r="AT46" s="341">
        <v>849</v>
      </c>
      <c r="AU46" s="339">
        <f t="shared" si="56"/>
        <v>0</v>
      </c>
      <c r="AV46" s="340">
        <f t="shared" si="57"/>
        <v>0</v>
      </c>
      <c r="AW46" s="340">
        <f t="shared" si="58"/>
        <v>0</v>
      </c>
      <c r="AX46" s="340">
        <f t="shared" si="59"/>
        <v>0</v>
      </c>
      <c r="AY46" s="340">
        <f t="shared" si="60"/>
        <v>0</v>
      </c>
      <c r="AZ46" s="340">
        <f t="shared" si="61"/>
        <v>0</v>
      </c>
      <c r="BA46" s="340">
        <f t="shared" si="62"/>
        <v>0</v>
      </c>
      <c r="BB46" s="340">
        <f t="shared" si="63"/>
        <v>0</v>
      </c>
      <c r="BC46" s="340">
        <f t="shared" si="64"/>
        <v>0</v>
      </c>
      <c r="BD46" s="340">
        <f t="shared" si="65"/>
        <v>0</v>
      </c>
      <c r="BE46" s="340">
        <f t="shared" si="66"/>
        <v>0</v>
      </c>
      <c r="BF46" s="340">
        <f t="shared" si="67"/>
        <v>0</v>
      </c>
      <c r="BG46" s="340">
        <f t="shared" si="68"/>
        <v>0</v>
      </c>
      <c r="BH46" s="339" t="str">
        <f t="shared" si="34"/>
        <v/>
      </c>
      <c r="BI46" s="340" t="str">
        <f t="shared" si="35"/>
        <v/>
      </c>
      <c r="BJ46" s="340" t="str">
        <f t="shared" si="36"/>
        <v/>
      </c>
      <c r="BK46" s="340" t="str">
        <f t="shared" si="37"/>
        <v/>
      </c>
      <c r="BL46" s="340" t="str">
        <f t="shared" si="38"/>
        <v/>
      </c>
      <c r="BM46" s="340">
        <f t="shared" si="39"/>
        <v>22</v>
      </c>
      <c r="BN46" s="340" t="str">
        <f t="shared" si="40"/>
        <v/>
      </c>
      <c r="BO46" s="340" t="str">
        <f t="shared" si="41"/>
        <v/>
      </c>
      <c r="BP46" s="340" t="str">
        <f t="shared" si="42"/>
        <v/>
      </c>
      <c r="BQ46" s="340" t="str">
        <f t="shared" si="43"/>
        <v/>
      </c>
      <c r="BR46" s="340" t="str">
        <f t="shared" si="44"/>
        <v/>
      </c>
      <c r="BS46" s="340" t="str">
        <f t="shared" si="45"/>
        <v/>
      </c>
      <c r="BT46" s="341" t="str">
        <f t="shared" si="46"/>
        <v/>
      </c>
      <c r="BU46" s="324"/>
    </row>
    <row r="47" spans="1:73" s="342" customFormat="1">
      <c r="A47" s="324"/>
      <c r="B47" s="324"/>
      <c r="C47" s="570" t="s">
        <v>552</v>
      </c>
      <c r="D47" s="572">
        <v>10.76</v>
      </c>
      <c r="E47" s="572">
        <v>8.718</v>
      </c>
      <c r="F47" s="327">
        <f t="shared" si="48"/>
        <v>2.0419999999999998</v>
      </c>
      <c r="G47" s="570" t="s">
        <v>550</v>
      </c>
      <c r="H47" s="572">
        <v>10.66</v>
      </c>
      <c r="I47" s="572">
        <v>8.3439999999999994</v>
      </c>
      <c r="J47" s="327">
        <f t="shared" si="49"/>
        <v>2.3160000000000007</v>
      </c>
      <c r="K47" s="343">
        <f t="shared" si="50"/>
        <v>2.25</v>
      </c>
      <c r="L47" s="570">
        <v>14</v>
      </c>
      <c r="M47" s="570">
        <v>525</v>
      </c>
      <c r="N47" s="345">
        <f t="shared" si="51"/>
        <v>0</v>
      </c>
      <c r="O47" s="345">
        <v>109</v>
      </c>
      <c r="P47" s="346">
        <f t="shared" si="52"/>
        <v>0</v>
      </c>
      <c r="Q47" s="332" t="str">
        <f t="shared" si="5"/>
        <v/>
      </c>
      <c r="R47" s="332" t="str">
        <f t="shared" si="6"/>
        <v/>
      </c>
      <c r="S47" s="333" t="str">
        <f t="shared" si="7"/>
        <v/>
      </c>
      <c r="T47" s="333" t="str">
        <f t="shared" si="8"/>
        <v/>
      </c>
      <c r="U47" s="333" t="str">
        <f t="shared" si="9"/>
        <v/>
      </c>
      <c r="V47" s="333">
        <f t="shared" si="10"/>
        <v>0</v>
      </c>
      <c r="W47" s="333" t="str">
        <f t="shared" si="11"/>
        <v/>
      </c>
      <c r="X47" s="333" t="str">
        <f t="shared" si="12"/>
        <v/>
      </c>
      <c r="Y47" s="333" t="str">
        <f t="shared" si="13"/>
        <v/>
      </c>
      <c r="Z47" s="333" t="str">
        <f t="shared" si="14"/>
        <v/>
      </c>
      <c r="AA47" s="333" t="str">
        <f t="shared" si="15"/>
        <v/>
      </c>
      <c r="AB47" s="333" t="str">
        <f t="shared" si="16"/>
        <v/>
      </c>
      <c r="AC47" s="334" t="str">
        <f t="shared" si="69"/>
        <v/>
      </c>
      <c r="AD47" s="335"/>
      <c r="AE47" s="336">
        <f t="shared" si="53"/>
        <v>3.0291187500000003</v>
      </c>
      <c r="AF47" s="337">
        <f t="shared" si="54"/>
        <v>24.57</v>
      </c>
      <c r="AG47" s="338">
        <f t="shared" si="55"/>
        <v>14.647500000000001</v>
      </c>
      <c r="AH47" s="339">
        <v>364</v>
      </c>
      <c r="AI47" s="340">
        <v>386</v>
      </c>
      <c r="AJ47" s="340">
        <v>0</v>
      </c>
      <c r="AK47" s="340">
        <v>0</v>
      </c>
      <c r="AL47" s="340">
        <v>0</v>
      </c>
      <c r="AM47" s="340">
        <v>0</v>
      </c>
      <c r="AN47" s="340">
        <v>454</v>
      </c>
      <c r="AO47" s="340">
        <v>472</v>
      </c>
      <c r="AP47" s="340">
        <v>516</v>
      </c>
      <c r="AQ47" s="340">
        <v>596</v>
      </c>
      <c r="AR47" s="340">
        <v>646</v>
      </c>
      <c r="AS47" s="340">
        <v>755</v>
      </c>
      <c r="AT47" s="341">
        <v>815</v>
      </c>
      <c r="AU47" s="339">
        <f t="shared" si="56"/>
        <v>0</v>
      </c>
      <c r="AV47" s="340">
        <f t="shared" si="57"/>
        <v>0</v>
      </c>
      <c r="AW47" s="340">
        <f t="shared" si="58"/>
        <v>0</v>
      </c>
      <c r="AX47" s="340">
        <f t="shared" si="59"/>
        <v>0</v>
      </c>
      <c r="AY47" s="340">
        <f t="shared" si="60"/>
        <v>0</v>
      </c>
      <c r="AZ47" s="340">
        <f t="shared" si="61"/>
        <v>0</v>
      </c>
      <c r="BA47" s="340">
        <f t="shared" si="62"/>
        <v>0</v>
      </c>
      <c r="BB47" s="340">
        <f t="shared" si="63"/>
        <v>0</v>
      </c>
      <c r="BC47" s="340">
        <f t="shared" si="64"/>
        <v>0</v>
      </c>
      <c r="BD47" s="340">
        <f t="shared" si="65"/>
        <v>0</v>
      </c>
      <c r="BE47" s="340">
        <f t="shared" si="66"/>
        <v>0</v>
      </c>
      <c r="BF47" s="340">
        <f t="shared" si="67"/>
        <v>0</v>
      </c>
      <c r="BG47" s="340">
        <f t="shared" si="68"/>
        <v>0</v>
      </c>
      <c r="BH47" s="339" t="str">
        <f t="shared" si="34"/>
        <v/>
      </c>
      <c r="BI47" s="340" t="str">
        <f t="shared" si="35"/>
        <v/>
      </c>
      <c r="BJ47" s="340" t="str">
        <f t="shared" si="36"/>
        <v/>
      </c>
      <c r="BK47" s="340" t="str">
        <f t="shared" si="37"/>
        <v/>
      </c>
      <c r="BL47" s="340" t="str">
        <f t="shared" si="38"/>
        <v/>
      </c>
      <c r="BM47" s="340">
        <f t="shared" si="39"/>
        <v>14</v>
      </c>
      <c r="BN47" s="340" t="str">
        <f t="shared" si="40"/>
        <v/>
      </c>
      <c r="BO47" s="340" t="str">
        <f t="shared" si="41"/>
        <v/>
      </c>
      <c r="BP47" s="340" t="str">
        <f t="shared" si="42"/>
        <v/>
      </c>
      <c r="BQ47" s="340" t="str">
        <f t="shared" si="43"/>
        <v/>
      </c>
      <c r="BR47" s="340" t="str">
        <f t="shared" si="44"/>
        <v/>
      </c>
      <c r="BS47" s="340" t="str">
        <f t="shared" si="45"/>
        <v/>
      </c>
      <c r="BT47" s="341" t="str">
        <f t="shared" si="46"/>
        <v/>
      </c>
      <c r="BU47" s="324"/>
    </row>
    <row r="48" spans="1:73" s="342" customFormat="1">
      <c r="A48" s="324"/>
      <c r="B48" s="324"/>
      <c r="C48" s="570"/>
      <c r="D48" s="572"/>
      <c r="E48" s="572"/>
      <c r="F48" s="327">
        <f t="shared" si="48"/>
        <v>0</v>
      </c>
      <c r="G48" s="570"/>
      <c r="H48" s="572"/>
      <c r="I48" s="572"/>
      <c r="J48" s="327">
        <f t="shared" si="49"/>
        <v>0</v>
      </c>
      <c r="K48" s="343">
        <f t="shared" si="50"/>
        <v>0</v>
      </c>
      <c r="L48" s="570"/>
      <c r="M48" s="570"/>
      <c r="N48" s="345">
        <f t="shared" si="51"/>
        <v>0</v>
      </c>
      <c r="O48" s="345">
        <v>109</v>
      </c>
      <c r="P48" s="346">
        <f t="shared" si="52"/>
        <v>0</v>
      </c>
      <c r="Q48" s="332" t="str">
        <f t="shared" si="5"/>
        <v/>
      </c>
      <c r="R48" s="332" t="str">
        <f t="shared" si="6"/>
        <v/>
      </c>
      <c r="S48" s="333" t="str">
        <f t="shared" si="7"/>
        <v/>
      </c>
      <c r="T48" s="333" t="str">
        <f t="shared" si="8"/>
        <v/>
      </c>
      <c r="U48" s="333" t="str">
        <f t="shared" si="9"/>
        <v/>
      </c>
      <c r="V48" s="333" t="str">
        <f t="shared" si="10"/>
        <v/>
      </c>
      <c r="W48" s="333" t="str">
        <f t="shared" si="11"/>
        <v/>
      </c>
      <c r="X48" s="333" t="str">
        <f t="shared" si="12"/>
        <v/>
      </c>
      <c r="Y48" s="333" t="str">
        <f t="shared" si="13"/>
        <v/>
      </c>
      <c r="Z48" s="333" t="str">
        <f t="shared" si="14"/>
        <v/>
      </c>
      <c r="AA48" s="333" t="str">
        <f t="shared" si="15"/>
        <v/>
      </c>
      <c r="AB48" s="333" t="str">
        <f t="shared" si="16"/>
        <v/>
      </c>
      <c r="AC48" s="334" t="str">
        <f t="shared" si="69"/>
        <v/>
      </c>
      <c r="AD48" s="335"/>
      <c r="AE48" s="336">
        <f t="shared" si="53"/>
        <v>0</v>
      </c>
      <c r="AF48" s="337">
        <f t="shared" si="54"/>
        <v>0</v>
      </c>
      <c r="AG48" s="338">
        <f t="shared" si="55"/>
        <v>0</v>
      </c>
      <c r="AH48" s="339">
        <v>269</v>
      </c>
      <c r="AI48" s="340">
        <v>341</v>
      </c>
      <c r="AJ48" s="340">
        <v>371</v>
      </c>
      <c r="AK48" s="340">
        <v>403</v>
      </c>
      <c r="AL48" s="340">
        <v>401</v>
      </c>
      <c r="AM48" s="340">
        <v>404</v>
      </c>
      <c r="AN48" s="340">
        <v>403</v>
      </c>
      <c r="AO48" s="340">
        <v>421</v>
      </c>
      <c r="AP48" s="340">
        <v>465</v>
      </c>
      <c r="AQ48" s="340">
        <v>545</v>
      </c>
      <c r="AR48" s="340">
        <v>595</v>
      </c>
      <c r="AS48" s="340">
        <v>704</v>
      </c>
      <c r="AT48" s="341">
        <v>764</v>
      </c>
      <c r="AU48" s="339">
        <f t="shared" si="56"/>
        <v>0</v>
      </c>
      <c r="AV48" s="340">
        <f t="shared" si="57"/>
        <v>0</v>
      </c>
      <c r="AW48" s="340">
        <f t="shared" si="58"/>
        <v>0</v>
      </c>
      <c r="AX48" s="340">
        <f t="shared" si="59"/>
        <v>0</v>
      </c>
      <c r="AY48" s="340">
        <f t="shared" si="60"/>
        <v>0</v>
      </c>
      <c r="AZ48" s="340">
        <f t="shared" si="61"/>
        <v>0</v>
      </c>
      <c r="BA48" s="340">
        <f t="shared" si="62"/>
        <v>0</v>
      </c>
      <c r="BB48" s="340">
        <f t="shared" si="63"/>
        <v>0</v>
      </c>
      <c r="BC48" s="340">
        <f t="shared" si="64"/>
        <v>0</v>
      </c>
      <c r="BD48" s="340">
        <f t="shared" si="65"/>
        <v>0</v>
      </c>
      <c r="BE48" s="340">
        <f t="shared" si="66"/>
        <v>0</v>
      </c>
      <c r="BF48" s="340">
        <f t="shared" si="67"/>
        <v>0</v>
      </c>
      <c r="BG48" s="340">
        <f t="shared" si="68"/>
        <v>0</v>
      </c>
      <c r="BH48" s="339" t="str">
        <f t="shared" si="34"/>
        <v/>
      </c>
      <c r="BI48" s="340" t="str">
        <f t="shared" si="35"/>
        <v/>
      </c>
      <c r="BJ48" s="340" t="str">
        <f t="shared" si="36"/>
        <v/>
      </c>
      <c r="BK48" s="340" t="str">
        <f t="shared" si="37"/>
        <v/>
      </c>
      <c r="BL48" s="340" t="str">
        <f t="shared" si="38"/>
        <v/>
      </c>
      <c r="BM48" s="340" t="str">
        <f t="shared" si="39"/>
        <v/>
      </c>
      <c r="BN48" s="340" t="str">
        <f t="shared" si="40"/>
        <v/>
      </c>
      <c r="BO48" s="340" t="str">
        <f t="shared" si="41"/>
        <v/>
      </c>
      <c r="BP48" s="340" t="str">
        <f t="shared" si="42"/>
        <v/>
      </c>
      <c r="BQ48" s="340" t="str">
        <f t="shared" si="43"/>
        <v/>
      </c>
      <c r="BR48" s="340" t="str">
        <f t="shared" si="44"/>
        <v/>
      </c>
      <c r="BS48" s="340" t="str">
        <f t="shared" si="45"/>
        <v/>
      </c>
      <c r="BT48" s="341" t="str">
        <f t="shared" si="46"/>
        <v/>
      </c>
      <c r="BU48" s="324"/>
    </row>
    <row r="49" spans="1:73" s="342" customFormat="1">
      <c r="A49" s="324"/>
      <c r="B49" s="324"/>
      <c r="C49" s="570" t="s">
        <v>551</v>
      </c>
      <c r="D49" s="572">
        <v>10.65</v>
      </c>
      <c r="E49" s="572">
        <v>9.0540000000000003</v>
      </c>
      <c r="F49" s="327">
        <f t="shared" si="48"/>
        <v>1.5960000000000001</v>
      </c>
      <c r="G49" s="570" t="s">
        <v>550</v>
      </c>
      <c r="H49" s="572">
        <v>10.66</v>
      </c>
      <c r="I49" s="572">
        <v>8.3439999999999994</v>
      </c>
      <c r="J49" s="327">
        <f t="shared" si="49"/>
        <v>2.3160000000000007</v>
      </c>
      <c r="K49" s="343">
        <f t="shared" si="50"/>
        <v>2</v>
      </c>
      <c r="L49" s="570">
        <v>16</v>
      </c>
      <c r="M49" s="570">
        <v>225</v>
      </c>
      <c r="N49" s="345">
        <f t="shared" si="51"/>
        <v>270</v>
      </c>
      <c r="O49" s="345">
        <v>109</v>
      </c>
      <c r="P49" s="346">
        <f t="shared" si="52"/>
        <v>161</v>
      </c>
      <c r="Q49" s="332" t="str">
        <f t="shared" si="5"/>
        <v/>
      </c>
      <c r="R49" s="332">
        <f t="shared" si="6"/>
        <v>2576</v>
      </c>
      <c r="S49" s="333" t="str">
        <f t="shared" si="7"/>
        <v/>
      </c>
      <c r="T49" s="333" t="str">
        <f t="shared" si="8"/>
        <v/>
      </c>
      <c r="U49" s="333" t="str">
        <f t="shared" si="9"/>
        <v/>
      </c>
      <c r="V49" s="333" t="str">
        <f t="shared" si="10"/>
        <v/>
      </c>
      <c r="W49" s="333" t="str">
        <f t="shared" si="11"/>
        <v/>
      </c>
      <c r="X49" s="333" t="str">
        <f t="shared" si="12"/>
        <v/>
      </c>
      <c r="Y49" s="333" t="str">
        <f t="shared" si="13"/>
        <v/>
      </c>
      <c r="Z49" s="333" t="str">
        <f t="shared" si="14"/>
        <v/>
      </c>
      <c r="AA49" s="333" t="str">
        <f t="shared" si="15"/>
        <v/>
      </c>
      <c r="AB49" s="333" t="str">
        <f t="shared" si="16"/>
        <v/>
      </c>
      <c r="AC49" s="334" t="str">
        <f t="shared" si="69"/>
        <v/>
      </c>
      <c r="AD49" s="335"/>
      <c r="AE49" s="336">
        <f t="shared" si="53"/>
        <v>0.63585000000000003</v>
      </c>
      <c r="AF49" s="337">
        <f t="shared" si="54"/>
        <v>16.740000000000002</v>
      </c>
      <c r="AG49" s="338">
        <f t="shared" si="55"/>
        <v>16.740000000000002</v>
      </c>
      <c r="AH49" s="339">
        <v>234</v>
      </c>
      <c r="AI49" s="340">
        <v>270</v>
      </c>
      <c r="AJ49" s="340">
        <v>291</v>
      </c>
      <c r="AK49" s="340">
        <v>316</v>
      </c>
      <c r="AL49" s="340">
        <v>321</v>
      </c>
      <c r="AM49" s="340">
        <v>305</v>
      </c>
      <c r="AN49" s="340">
        <v>335</v>
      </c>
      <c r="AO49" s="340">
        <v>353</v>
      </c>
      <c r="AP49" s="340">
        <v>399</v>
      </c>
      <c r="AQ49" s="340">
        <v>479</v>
      </c>
      <c r="AR49" s="340">
        <v>529</v>
      </c>
      <c r="AS49" s="340">
        <v>626</v>
      </c>
      <c r="AT49" s="341">
        <v>686</v>
      </c>
      <c r="AU49" s="339">
        <f t="shared" si="56"/>
        <v>0</v>
      </c>
      <c r="AV49" s="340">
        <f t="shared" si="57"/>
        <v>270</v>
      </c>
      <c r="AW49" s="340">
        <f t="shared" si="58"/>
        <v>0</v>
      </c>
      <c r="AX49" s="340">
        <f t="shared" si="59"/>
        <v>0</v>
      </c>
      <c r="AY49" s="340">
        <f t="shared" si="60"/>
        <v>0</v>
      </c>
      <c r="AZ49" s="340">
        <f t="shared" si="61"/>
        <v>0</v>
      </c>
      <c r="BA49" s="340">
        <f t="shared" si="62"/>
        <v>0</v>
      </c>
      <c r="BB49" s="340">
        <f t="shared" si="63"/>
        <v>0</v>
      </c>
      <c r="BC49" s="340">
        <f t="shared" si="64"/>
        <v>0</v>
      </c>
      <c r="BD49" s="340">
        <f t="shared" si="65"/>
        <v>0</v>
      </c>
      <c r="BE49" s="340">
        <f t="shared" si="66"/>
        <v>0</v>
      </c>
      <c r="BF49" s="340">
        <f t="shared" si="67"/>
        <v>0</v>
      </c>
      <c r="BG49" s="340">
        <f t="shared" si="68"/>
        <v>0</v>
      </c>
      <c r="BH49" s="339" t="str">
        <f t="shared" si="34"/>
        <v/>
      </c>
      <c r="BI49" s="340">
        <f t="shared" si="35"/>
        <v>16</v>
      </c>
      <c r="BJ49" s="340" t="str">
        <f t="shared" si="36"/>
        <v/>
      </c>
      <c r="BK49" s="340" t="str">
        <f t="shared" si="37"/>
        <v/>
      </c>
      <c r="BL49" s="340" t="str">
        <f t="shared" si="38"/>
        <v/>
      </c>
      <c r="BM49" s="340" t="str">
        <f t="shared" si="39"/>
        <v/>
      </c>
      <c r="BN49" s="340" t="str">
        <f t="shared" si="40"/>
        <v/>
      </c>
      <c r="BO49" s="340" t="str">
        <f t="shared" si="41"/>
        <v/>
      </c>
      <c r="BP49" s="340" t="str">
        <f t="shared" si="42"/>
        <v/>
      </c>
      <c r="BQ49" s="340" t="str">
        <f t="shared" si="43"/>
        <v/>
      </c>
      <c r="BR49" s="340" t="str">
        <f t="shared" si="44"/>
        <v/>
      </c>
      <c r="BS49" s="340" t="str">
        <f t="shared" si="45"/>
        <v/>
      </c>
      <c r="BT49" s="341" t="str">
        <f t="shared" si="46"/>
        <v/>
      </c>
      <c r="BU49" s="324"/>
    </row>
    <row r="50" spans="1:73" s="342" customFormat="1">
      <c r="A50" s="324"/>
      <c r="B50" s="324"/>
      <c r="C50" s="570"/>
      <c r="D50" s="572"/>
      <c r="E50" s="572"/>
      <c r="F50" s="327">
        <f t="shared" si="48"/>
        <v>0</v>
      </c>
      <c r="G50" s="570"/>
      <c r="H50" s="572"/>
      <c r="I50" s="572"/>
      <c r="J50" s="327">
        <f t="shared" si="49"/>
        <v>0</v>
      </c>
      <c r="K50" s="343">
        <f t="shared" si="50"/>
        <v>0</v>
      </c>
      <c r="L50" s="570"/>
      <c r="M50" s="570"/>
      <c r="N50" s="345">
        <f t="shared" si="51"/>
        <v>0</v>
      </c>
      <c r="O50" s="345">
        <v>109</v>
      </c>
      <c r="P50" s="346">
        <f t="shared" si="52"/>
        <v>0</v>
      </c>
      <c r="Q50" s="332" t="str">
        <f t="shared" si="5"/>
        <v/>
      </c>
      <c r="R50" s="332" t="str">
        <f t="shared" si="6"/>
        <v/>
      </c>
      <c r="S50" s="333" t="str">
        <f t="shared" si="7"/>
        <v/>
      </c>
      <c r="T50" s="333" t="str">
        <f t="shared" si="8"/>
        <v/>
      </c>
      <c r="U50" s="333" t="str">
        <f t="shared" si="9"/>
        <v/>
      </c>
      <c r="V50" s="333" t="str">
        <f t="shared" si="10"/>
        <v/>
      </c>
      <c r="W50" s="333" t="str">
        <f t="shared" si="11"/>
        <v/>
      </c>
      <c r="X50" s="333" t="str">
        <f t="shared" si="12"/>
        <v/>
      </c>
      <c r="Y50" s="333" t="str">
        <f t="shared" si="13"/>
        <v/>
      </c>
      <c r="Z50" s="333" t="str">
        <f t="shared" si="14"/>
        <v/>
      </c>
      <c r="AA50" s="333" t="str">
        <f t="shared" si="15"/>
        <v/>
      </c>
      <c r="AB50" s="333" t="str">
        <f t="shared" si="16"/>
        <v/>
      </c>
      <c r="AC50" s="334" t="str">
        <f t="shared" si="69"/>
        <v/>
      </c>
      <c r="AD50" s="335"/>
      <c r="AE50" s="336">
        <f t="shared" si="53"/>
        <v>0</v>
      </c>
      <c r="AF50" s="337">
        <f t="shared" si="54"/>
        <v>0</v>
      </c>
      <c r="AG50" s="338">
        <f t="shared" si="55"/>
        <v>0</v>
      </c>
      <c r="AH50" s="339">
        <v>165</v>
      </c>
      <c r="AI50" s="340">
        <v>195</v>
      </c>
      <c r="AJ50" s="340">
        <v>219</v>
      </c>
      <c r="AK50" s="340">
        <v>225</v>
      </c>
      <c r="AL50" s="340">
        <v>247</v>
      </c>
      <c r="AM50" s="340">
        <v>242</v>
      </c>
      <c r="AN50" s="340">
        <v>267</v>
      </c>
      <c r="AO50" s="340">
        <v>285</v>
      </c>
      <c r="AP50" s="340">
        <v>317</v>
      </c>
      <c r="AQ50" s="340">
        <v>397</v>
      </c>
      <c r="AR50" s="340">
        <v>447</v>
      </c>
      <c r="AS50" s="340">
        <v>560</v>
      </c>
      <c r="AT50" s="341">
        <v>620</v>
      </c>
      <c r="AU50" s="339">
        <f t="shared" si="56"/>
        <v>0</v>
      </c>
      <c r="AV50" s="340">
        <f t="shared" si="57"/>
        <v>0</v>
      </c>
      <c r="AW50" s="340">
        <f t="shared" si="58"/>
        <v>0</v>
      </c>
      <c r="AX50" s="340">
        <f t="shared" si="59"/>
        <v>0</v>
      </c>
      <c r="AY50" s="340">
        <f t="shared" si="60"/>
        <v>0</v>
      </c>
      <c r="AZ50" s="340">
        <f t="shared" si="61"/>
        <v>0</v>
      </c>
      <c r="BA50" s="340">
        <f t="shared" si="62"/>
        <v>0</v>
      </c>
      <c r="BB50" s="340">
        <f t="shared" si="63"/>
        <v>0</v>
      </c>
      <c r="BC50" s="340">
        <f t="shared" si="64"/>
        <v>0</v>
      </c>
      <c r="BD50" s="340">
        <f t="shared" si="65"/>
        <v>0</v>
      </c>
      <c r="BE50" s="340">
        <f t="shared" si="66"/>
        <v>0</v>
      </c>
      <c r="BF50" s="340">
        <f t="shared" si="67"/>
        <v>0</v>
      </c>
      <c r="BG50" s="340">
        <f t="shared" si="68"/>
        <v>0</v>
      </c>
      <c r="BH50" s="339" t="str">
        <f t="shared" si="34"/>
        <v/>
      </c>
      <c r="BI50" s="340" t="str">
        <f t="shared" si="35"/>
        <v/>
      </c>
      <c r="BJ50" s="340" t="str">
        <f t="shared" si="36"/>
        <v/>
      </c>
      <c r="BK50" s="340" t="str">
        <f t="shared" si="37"/>
        <v/>
      </c>
      <c r="BL50" s="340" t="str">
        <f t="shared" si="38"/>
        <v/>
      </c>
      <c r="BM50" s="340" t="str">
        <f t="shared" si="39"/>
        <v/>
      </c>
      <c r="BN50" s="340" t="str">
        <f t="shared" si="40"/>
        <v/>
      </c>
      <c r="BO50" s="340" t="str">
        <f t="shared" si="41"/>
        <v/>
      </c>
      <c r="BP50" s="340" t="str">
        <f t="shared" si="42"/>
        <v/>
      </c>
      <c r="BQ50" s="340" t="str">
        <f t="shared" si="43"/>
        <v/>
      </c>
      <c r="BR50" s="340" t="str">
        <f t="shared" si="44"/>
        <v/>
      </c>
      <c r="BS50" s="340" t="str">
        <f t="shared" si="45"/>
        <v/>
      </c>
      <c r="BT50" s="341" t="str">
        <f t="shared" si="46"/>
        <v/>
      </c>
      <c r="BU50" s="324"/>
    </row>
    <row r="51" spans="1:73" s="342" customFormat="1">
      <c r="A51" s="324"/>
      <c r="B51" s="324"/>
      <c r="C51" s="570" t="s">
        <v>550</v>
      </c>
      <c r="D51" s="572">
        <v>10.66</v>
      </c>
      <c r="E51" s="572">
        <v>8.3439999999999994</v>
      </c>
      <c r="F51" s="327">
        <f t="shared" si="48"/>
        <v>2.3160000000000007</v>
      </c>
      <c r="G51" s="570" t="s">
        <v>549</v>
      </c>
      <c r="H51" s="572">
        <v>10.5</v>
      </c>
      <c r="I51" s="572">
        <v>8.5660000000000007</v>
      </c>
      <c r="J51" s="327">
        <f t="shared" si="49"/>
        <v>1.9339999999999993</v>
      </c>
      <c r="K51" s="343">
        <f t="shared" si="50"/>
        <v>2.25</v>
      </c>
      <c r="L51" s="570">
        <v>8</v>
      </c>
      <c r="M51" s="570">
        <v>600</v>
      </c>
      <c r="N51" s="345">
        <f t="shared" si="51"/>
        <v>403</v>
      </c>
      <c r="O51" s="345">
        <v>109</v>
      </c>
      <c r="P51" s="346">
        <f t="shared" si="52"/>
        <v>294</v>
      </c>
      <c r="Q51" s="332" t="str">
        <f t="shared" si="5"/>
        <v/>
      </c>
      <c r="R51" s="332" t="str">
        <f t="shared" si="6"/>
        <v/>
      </c>
      <c r="S51" s="333" t="str">
        <f t="shared" si="7"/>
        <v/>
      </c>
      <c r="T51" s="333" t="str">
        <f t="shared" si="8"/>
        <v/>
      </c>
      <c r="U51" s="333" t="str">
        <f t="shared" si="9"/>
        <v/>
      </c>
      <c r="V51" s="333" t="str">
        <f t="shared" si="10"/>
        <v/>
      </c>
      <c r="W51" s="333">
        <f t="shared" si="11"/>
        <v>2352</v>
      </c>
      <c r="X51" s="333" t="str">
        <f t="shared" si="12"/>
        <v/>
      </c>
      <c r="Y51" s="333" t="str">
        <f t="shared" si="13"/>
        <v/>
      </c>
      <c r="Z51" s="333" t="str">
        <f t="shared" si="14"/>
        <v/>
      </c>
      <c r="AA51" s="333" t="str">
        <f t="shared" si="15"/>
        <v/>
      </c>
      <c r="AB51" s="333" t="str">
        <f t="shared" si="16"/>
        <v/>
      </c>
      <c r="AC51" s="334" t="str">
        <f t="shared" si="69"/>
        <v/>
      </c>
      <c r="AD51" s="335"/>
      <c r="AE51" s="336">
        <f t="shared" si="53"/>
        <v>2.2608000000000001</v>
      </c>
      <c r="AF51" s="337">
        <f t="shared" si="54"/>
        <v>15.120000000000001</v>
      </c>
      <c r="AG51" s="338">
        <f t="shared" si="55"/>
        <v>8.370000000000001</v>
      </c>
      <c r="AH51" s="339">
        <v>269</v>
      </c>
      <c r="AI51" s="340">
        <v>341</v>
      </c>
      <c r="AJ51" s="340">
        <v>371</v>
      </c>
      <c r="AK51" s="340">
        <v>403</v>
      </c>
      <c r="AL51" s="340">
        <v>401</v>
      </c>
      <c r="AM51" s="340">
        <v>404</v>
      </c>
      <c r="AN51" s="340">
        <v>403</v>
      </c>
      <c r="AO51" s="340">
        <v>421</v>
      </c>
      <c r="AP51" s="340">
        <v>465</v>
      </c>
      <c r="AQ51" s="340">
        <v>545</v>
      </c>
      <c r="AR51" s="340">
        <v>595</v>
      </c>
      <c r="AS51" s="340">
        <v>704</v>
      </c>
      <c r="AT51" s="341">
        <v>764</v>
      </c>
      <c r="AU51" s="339">
        <f t="shared" si="56"/>
        <v>0</v>
      </c>
      <c r="AV51" s="340">
        <f t="shared" si="57"/>
        <v>0</v>
      </c>
      <c r="AW51" s="340">
        <f t="shared" si="58"/>
        <v>0</v>
      </c>
      <c r="AX51" s="340">
        <f t="shared" si="59"/>
        <v>0</v>
      </c>
      <c r="AY51" s="340">
        <f t="shared" si="60"/>
        <v>0</v>
      </c>
      <c r="AZ51" s="340">
        <f t="shared" si="61"/>
        <v>0</v>
      </c>
      <c r="BA51" s="340">
        <f t="shared" si="62"/>
        <v>403</v>
      </c>
      <c r="BB51" s="340">
        <f t="shared" si="63"/>
        <v>0</v>
      </c>
      <c r="BC51" s="340">
        <f t="shared" si="64"/>
        <v>0</v>
      </c>
      <c r="BD51" s="340">
        <f t="shared" si="65"/>
        <v>0</v>
      </c>
      <c r="BE51" s="340">
        <f t="shared" si="66"/>
        <v>0</v>
      </c>
      <c r="BF51" s="340">
        <f t="shared" si="67"/>
        <v>0</v>
      </c>
      <c r="BG51" s="340">
        <f t="shared" si="68"/>
        <v>0</v>
      </c>
      <c r="BH51" s="339" t="str">
        <f t="shared" si="34"/>
        <v/>
      </c>
      <c r="BI51" s="340" t="str">
        <f t="shared" si="35"/>
        <v/>
      </c>
      <c r="BJ51" s="340" t="str">
        <f t="shared" si="36"/>
        <v/>
      </c>
      <c r="BK51" s="340" t="str">
        <f t="shared" si="37"/>
        <v/>
      </c>
      <c r="BL51" s="340" t="str">
        <f t="shared" si="38"/>
        <v/>
      </c>
      <c r="BM51" s="340" t="str">
        <f t="shared" si="39"/>
        <v/>
      </c>
      <c r="BN51" s="340">
        <f t="shared" si="40"/>
        <v>8</v>
      </c>
      <c r="BO51" s="340" t="str">
        <f t="shared" si="41"/>
        <v/>
      </c>
      <c r="BP51" s="340" t="str">
        <f t="shared" si="42"/>
        <v/>
      </c>
      <c r="BQ51" s="340" t="str">
        <f t="shared" si="43"/>
        <v/>
      </c>
      <c r="BR51" s="340" t="str">
        <f t="shared" si="44"/>
        <v/>
      </c>
      <c r="BS51" s="340" t="str">
        <f t="shared" si="45"/>
        <v/>
      </c>
      <c r="BT51" s="341" t="str">
        <f t="shared" si="46"/>
        <v/>
      </c>
      <c r="BU51" s="324"/>
    </row>
    <row r="52" spans="1:73" s="342" customFormat="1">
      <c r="A52" s="324"/>
      <c r="B52" s="324"/>
      <c r="C52" s="570" t="s">
        <v>549</v>
      </c>
      <c r="D52" s="572">
        <v>10.5</v>
      </c>
      <c r="E52" s="572">
        <v>8.5660000000000007</v>
      </c>
      <c r="F52" s="327">
        <f t="shared" si="48"/>
        <v>1.9339999999999993</v>
      </c>
      <c r="G52" s="570" t="s">
        <v>548</v>
      </c>
      <c r="H52" s="572">
        <v>10.6</v>
      </c>
      <c r="I52" s="572">
        <v>8.5399999999999991</v>
      </c>
      <c r="J52" s="327">
        <f t="shared" si="49"/>
        <v>2.0600000000000005</v>
      </c>
      <c r="K52" s="343">
        <f t="shared" si="50"/>
        <v>2</v>
      </c>
      <c r="L52" s="570">
        <v>10</v>
      </c>
      <c r="M52" s="570">
        <v>600</v>
      </c>
      <c r="N52" s="345">
        <f t="shared" si="51"/>
        <v>488</v>
      </c>
      <c r="O52" s="345">
        <v>109</v>
      </c>
      <c r="P52" s="346">
        <f t="shared" si="52"/>
        <v>379</v>
      </c>
      <c r="Q52" s="332" t="str">
        <f t="shared" si="5"/>
        <v/>
      </c>
      <c r="R52" s="332" t="str">
        <f t="shared" si="6"/>
        <v/>
      </c>
      <c r="S52" s="333" t="str">
        <f t="shared" si="7"/>
        <v/>
      </c>
      <c r="T52" s="333" t="str">
        <f t="shared" si="8"/>
        <v/>
      </c>
      <c r="U52" s="333" t="str">
        <f t="shared" si="9"/>
        <v/>
      </c>
      <c r="V52" s="333" t="str">
        <f t="shared" si="10"/>
        <v/>
      </c>
      <c r="W52" s="333">
        <f t="shared" si="11"/>
        <v>3790</v>
      </c>
      <c r="X52" s="333" t="str">
        <f t="shared" si="12"/>
        <v/>
      </c>
      <c r="Y52" s="333" t="str">
        <f t="shared" si="13"/>
        <v/>
      </c>
      <c r="Z52" s="333" t="str">
        <f t="shared" si="14"/>
        <v/>
      </c>
      <c r="AA52" s="333" t="str">
        <f t="shared" si="15"/>
        <v/>
      </c>
      <c r="AB52" s="333" t="str">
        <f t="shared" si="16"/>
        <v/>
      </c>
      <c r="AC52" s="334" t="str">
        <f t="shared" si="69"/>
        <v/>
      </c>
      <c r="AD52" s="335"/>
      <c r="AE52" s="336">
        <f t="shared" si="53"/>
        <v>2.8260000000000001</v>
      </c>
      <c r="AF52" s="337">
        <f t="shared" si="54"/>
        <v>16.275000000000002</v>
      </c>
      <c r="AG52" s="338">
        <f t="shared" si="55"/>
        <v>10.462500000000002</v>
      </c>
      <c r="AH52" s="339">
        <v>394</v>
      </c>
      <c r="AI52" s="340">
        <v>416</v>
      </c>
      <c r="AJ52" s="340">
        <v>0</v>
      </c>
      <c r="AK52" s="340">
        <v>0</v>
      </c>
      <c r="AL52" s="340">
        <v>0</v>
      </c>
      <c r="AM52" s="340">
        <v>0</v>
      </c>
      <c r="AN52" s="340">
        <v>488</v>
      </c>
      <c r="AO52" s="340">
        <v>506</v>
      </c>
      <c r="AP52" s="340">
        <v>550</v>
      </c>
      <c r="AQ52" s="340">
        <v>630</v>
      </c>
      <c r="AR52" s="340">
        <v>680</v>
      </c>
      <c r="AS52" s="340">
        <v>789</v>
      </c>
      <c r="AT52" s="341">
        <v>849</v>
      </c>
      <c r="AU52" s="339">
        <f t="shared" si="56"/>
        <v>0</v>
      </c>
      <c r="AV52" s="340">
        <f t="shared" si="57"/>
        <v>0</v>
      </c>
      <c r="AW52" s="340">
        <f t="shared" si="58"/>
        <v>0</v>
      </c>
      <c r="AX52" s="340">
        <f t="shared" si="59"/>
        <v>0</v>
      </c>
      <c r="AY52" s="340">
        <f t="shared" si="60"/>
        <v>0</v>
      </c>
      <c r="AZ52" s="340">
        <f t="shared" si="61"/>
        <v>0</v>
      </c>
      <c r="BA52" s="340">
        <f t="shared" si="62"/>
        <v>488</v>
      </c>
      <c r="BB52" s="340">
        <f t="shared" si="63"/>
        <v>0</v>
      </c>
      <c r="BC52" s="340">
        <f t="shared" si="64"/>
        <v>0</v>
      </c>
      <c r="BD52" s="340">
        <f t="shared" si="65"/>
        <v>0</v>
      </c>
      <c r="BE52" s="340">
        <f t="shared" si="66"/>
        <v>0</v>
      </c>
      <c r="BF52" s="340">
        <f t="shared" si="67"/>
        <v>0</v>
      </c>
      <c r="BG52" s="340">
        <f t="shared" si="68"/>
        <v>0</v>
      </c>
      <c r="BH52" s="339" t="str">
        <f t="shared" si="34"/>
        <v/>
      </c>
      <c r="BI52" s="340" t="str">
        <f t="shared" si="35"/>
        <v/>
      </c>
      <c r="BJ52" s="340" t="str">
        <f t="shared" si="36"/>
        <v/>
      </c>
      <c r="BK52" s="340" t="str">
        <f t="shared" si="37"/>
        <v/>
      </c>
      <c r="BL52" s="340" t="str">
        <f t="shared" si="38"/>
        <v/>
      </c>
      <c r="BM52" s="340" t="str">
        <f t="shared" si="39"/>
        <v/>
      </c>
      <c r="BN52" s="340">
        <f t="shared" si="40"/>
        <v>10</v>
      </c>
      <c r="BO52" s="340" t="str">
        <f t="shared" si="41"/>
        <v/>
      </c>
      <c r="BP52" s="340" t="str">
        <f t="shared" si="42"/>
        <v/>
      </c>
      <c r="BQ52" s="340" t="str">
        <f t="shared" si="43"/>
        <v/>
      </c>
      <c r="BR52" s="340" t="str">
        <f t="shared" si="44"/>
        <v/>
      </c>
      <c r="BS52" s="340" t="str">
        <f t="shared" si="45"/>
        <v/>
      </c>
      <c r="BT52" s="341" t="str">
        <f t="shared" si="46"/>
        <v/>
      </c>
      <c r="BU52" s="324"/>
    </row>
    <row r="53" spans="1:73" s="342" customFormat="1">
      <c r="A53" s="324"/>
      <c r="B53" s="324"/>
      <c r="C53" s="570" t="s">
        <v>548</v>
      </c>
      <c r="D53" s="572">
        <v>10.6</v>
      </c>
      <c r="E53" s="572">
        <v>8.5399999999999991</v>
      </c>
      <c r="F53" s="327">
        <f t="shared" si="48"/>
        <v>2.0600000000000005</v>
      </c>
      <c r="G53" s="570" t="s">
        <v>547</v>
      </c>
      <c r="H53" s="572">
        <v>10.7</v>
      </c>
      <c r="I53" s="572">
        <v>8.51</v>
      </c>
      <c r="J53" s="327">
        <f t="shared" si="49"/>
        <v>2.1899999999999995</v>
      </c>
      <c r="K53" s="343">
        <f t="shared" si="50"/>
        <v>2.25</v>
      </c>
      <c r="L53" s="570">
        <v>12</v>
      </c>
      <c r="M53" s="570">
        <v>600</v>
      </c>
      <c r="N53" s="345">
        <f t="shared" si="51"/>
        <v>471</v>
      </c>
      <c r="O53" s="345">
        <v>109</v>
      </c>
      <c r="P53" s="346">
        <f t="shared" si="52"/>
        <v>362</v>
      </c>
      <c r="Q53" s="332" t="str">
        <f t="shared" si="5"/>
        <v/>
      </c>
      <c r="R53" s="332" t="str">
        <f t="shared" si="6"/>
        <v/>
      </c>
      <c r="S53" s="333" t="str">
        <f t="shared" si="7"/>
        <v/>
      </c>
      <c r="T53" s="333" t="str">
        <f t="shared" si="8"/>
        <v/>
      </c>
      <c r="U53" s="333" t="str">
        <f t="shared" si="9"/>
        <v/>
      </c>
      <c r="V53" s="333" t="str">
        <f t="shared" si="10"/>
        <v/>
      </c>
      <c r="W53" s="333">
        <f t="shared" si="11"/>
        <v>4344</v>
      </c>
      <c r="X53" s="333" t="str">
        <f t="shared" si="12"/>
        <v/>
      </c>
      <c r="Y53" s="333" t="str">
        <f t="shared" si="13"/>
        <v/>
      </c>
      <c r="Z53" s="333" t="str">
        <f t="shared" si="14"/>
        <v/>
      </c>
      <c r="AA53" s="333" t="str">
        <f t="shared" si="15"/>
        <v/>
      </c>
      <c r="AB53" s="333" t="str">
        <f t="shared" si="16"/>
        <v/>
      </c>
      <c r="AC53" s="334" t="str">
        <f t="shared" si="69"/>
        <v/>
      </c>
      <c r="AD53" s="335"/>
      <c r="AE53" s="336">
        <f t="shared" si="53"/>
        <v>3.3912000000000004</v>
      </c>
      <c r="AF53" s="337">
        <f t="shared" si="54"/>
        <v>22.68</v>
      </c>
      <c r="AG53" s="338">
        <f t="shared" si="55"/>
        <v>12.555000000000001</v>
      </c>
      <c r="AH53" s="339">
        <v>379</v>
      </c>
      <c r="AI53" s="340">
        <v>401</v>
      </c>
      <c r="AJ53" s="340">
        <v>0</v>
      </c>
      <c r="AK53" s="340">
        <v>0</v>
      </c>
      <c r="AL53" s="340">
        <v>0</v>
      </c>
      <c r="AM53" s="340">
        <v>0</v>
      </c>
      <c r="AN53" s="340">
        <v>471</v>
      </c>
      <c r="AO53" s="340">
        <v>489</v>
      </c>
      <c r="AP53" s="340">
        <v>533</v>
      </c>
      <c r="AQ53" s="340">
        <v>613</v>
      </c>
      <c r="AR53" s="340">
        <v>663</v>
      </c>
      <c r="AS53" s="340">
        <v>772</v>
      </c>
      <c r="AT53" s="341">
        <v>832</v>
      </c>
      <c r="AU53" s="339">
        <f t="shared" si="56"/>
        <v>0</v>
      </c>
      <c r="AV53" s="340">
        <f t="shared" si="57"/>
        <v>0</v>
      </c>
      <c r="AW53" s="340">
        <f t="shared" si="58"/>
        <v>0</v>
      </c>
      <c r="AX53" s="340">
        <f t="shared" si="59"/>
        <v>0</v>
      </c>
      <c r="AY53" s="340">
        <f t="shared" si="60"/>
        <v>0</v>
      </c>
      <c r="AZ53" s="340">
        <f t="shared" si="61"/>
        <v>0</v>
      </c>
      <c r="BA53" s="340">
        <f t="shared" si="62"/>
        <v>471</v>
      </c>
      <c r="BB53" s="340">
        <f t="shared" si="63"/>
        <v>0</v>
      </c>
      <c r="BC53" s="340">
        <f t="shared" si="64"/>
        <v>0</v>
      </c>
      <c r="BD53" s="340">
        <f t="shared" si="65"/>
        <v>0</v>
      </c>
      <c r="BE53" s="340">
        <f t="shared" si="66"/>
        <v>0</v>
      </c>
      <c r="BF53" s="340">
        <f t="shared" si="67"/>
        <v>0</v>
      </c>
      <c r="BG53" s="340">
        <f t="shared" si="68"/>
        <v>0</v>
      </c>
      <c r="BH53" s="339" t="str">
        <f t="shared" si="34"/>
        <v/>
      </c>
      <c r="BI53" s="340" t="str">
        <f t="shared" si="35"/>
        <v/>
      </c>
      <c r="BJ53" s="340" t="str">
        <f t="shared" si="36"/>
        <v/>
      </c>
      <c r="BK53" s="340" t="str">
        <f t="shared" si="37"/>
        <v/>
      </c>
      <c r="BL53" s="340" t="str">
        <f t="shared" si="38"/>
        <v/>
      </c>
      <c r="BM53" s="340" t="str">
        <f t="shared" si="39"/>
        <v/>
      </c>
      <c r="BN53" s="340">
        <f t="shared" si="40"/>
        <v>12</v>
      </c>
      <c r="BO53" s="340" t="str">
        <f t="shared" si="41"/>
        <v/>
      </c>
      <c r="BP53" s="340" t="str">
        <f t="shared" si="42"/>
        <v/>
      </c>
      <c r="BQ53" s="340" t="str">
        <f t="shared" si="43"/>
        <v/>
      </c>
      <c r="BR53" s="340" t="str">
        <f t="shared" si="44"/>
        <v/>
      </c>
      <c r="BS53" s="340" t="str">
        <f t="shared" si="45"/>
        <v/>
      </c>
      <c r="BT53" s="341" t="str">
        <f t="shared" si="46"/>
        <v/>
      </c>
      <c r="BU53" s="324"/>
    </row>
    <row r="54" spans="1:73" s="342" customFormat="1">
      <c r="A54" s="324"/>
      <c r="B54" s="324"/>
      <c r="C54" s="570" t="s">
        <v>547</v>
      </c>
      <c r="D54" s="572">
        <v>10.7</v>
      </c>
      <c r="E54" s="572">
        <v>8.51</v>
      </c>
      <c r="F54" s="327">
        <f t="shared" si="48"/>
        <v>2.1899999999999995</v>
      </c>
      <c r="G54" s="570" t="s">
        <v>546</v>
      </c>
      <c r="H54" s="572">
        <v>10.8</v>
      </c>
      <c r="I54" s="572">
        <v>8.4760000000000009</v>
      </c>
      <c r="J54" s="327">
        <f t="shared" si="49"/>
        <v>2.3239999999999998</v>
      </c>
      <c r="K54" s="343">
        <f t="shared" si="50"/>
        <v>2.5</v>
      </c>
      <c r="L54" s="570">
        <v>14</v>
      </c>
      <c r="M54" s="570">
        <v>600</v>
      </c>
      <c r="N54" s="345">
        <f t="shared" si="51"/>
        <v>0</v>
      </c>
      <c r="O54" s="345">
        <v>0</v>
      </c>
      <c r="P54" s="346">
        <f t="shared" si="52"/>
        <v>0</v>
      </c>
      <c r="Q54" s="332" t="str">
        <f t="shared" si="5"/>
        <v/>
      </c>
      <c r="R54" s="332" t="str">
        <f t="shared" si="6"/>
        <v/>
      </c>
      <c r="S54" s="333" t="str">
        <f t="shared" si="7"/>
        <v/>
      </c>
      <c r="T54" s="333" t="str">
        <f t="shared" si="8"/>
        <v/>
      </c>
      <c r="U54" s="333" t="str">
        <f t="shared" si="9"/>
        <v/>
      </c>
      <c r="V54" s="333" t="str">
        <f t="shared" si="10"/>
        <v/>
      </c>
      <c r="W54" s="333">
        <f t="shared" si="11"/>
        <v>0</v>
      </c>
      <c r="X54" s="333" t="str">
        <f t="shared" si="12"/>
        <v/>
      </c>
      <c r="Y54" s="333" t="str">
        <f t="shared" si="13"/>
        <v/>
      </c>
      <c r="Z54" s="333" t="str">
        <f t="shared" si="14"/>
        <v/>
      </c>
      <c r="AA54" s="333" t="str">
        <f t="shared" si="15"/>
        <v/>
      </c>
      <c r="AB54" s="333" t="str">
        <f t="shared" si="16"/>
        <v/>
      </c>
      <c r="AC54" s="334" t="str">
        <f t="shared" si="69"/>
        <v/>
      </c>
      <c r="AD54" s="335"/>
      <c r="AE54" s="336">
        <f t="shared" si="53"/>
        <v>3.9564000000000004</v>
      </c>
      <c r="AF54" s="337">
        <f t="shared" si="54"/>
        <v>30.134999999999998</v>
      </c>
      <c r="AG54" s="338">
        <f t="shared" si="55"/>
        <v>14.647500000000001</v>
      </c>
      <c r="AH54" s="339">
        <v>0</v>
      </c>
      <c r="AI54" s="340">
        <v>0</v>
      </c>
      <c r="AJ54" s="340">
        <v>0</v>
      </c>
      <c r="AK54" s="340">
        <v>0</v>
      </c>
      <c r="AL54" s="340">
        <v>0</v>
      </c>
      <c r="AM54" s="340">
        <v>0</v>
      </c>
      <c r="AN54" s="340">
        <v>0</v>
      </c>
      <c r="AO54" s="340">
        <v>0</v>
      </c>
      <c r="AP54" s="340">
        <v>0</v>
      </c>
      <c r="AQ54" s="340">
        <v>0</v>
      </c>
      <c r="AR54" s="340">
        <v>0</v>
      </c>
      <c r="AS54" s="340">
        <v>0</v>
      </c>
      <c r="AT54" s="341">
        <v>0</v>
      </c>
      <c r="AU54" s="339">
        <f t="shared" si="56"/>
        <v>0</v>
      </c>
      <c r="AV54" s="340">
        <f t="shared" si="57"/>
        <v>0</v>
      </c>
      <c r="AW54" s="340">
        <f t="shared" si="58"/>
        <v>0</v>
      </c>
      <c r="AX54" s="340">
        <f t="shared" si="59"/>
        <v>0</v>
      </c>
      <c r="AY54" s="340">
        <f t="shared" si="60"/>
        <v>0</v>
      </c>
      <c r="AZ54" s="340">
        <f t="shared" si="61"/>
        <v>0</v>
      </c>
      <c r="BA54" s="340">
        <f t="shared" si="62"/>
        <v>0</v>
      </c>
      <c r="BB54" s="340">
        <f t="shared" si="63"/>
        <v>0</v>
      </c>
      <c r="BC54" s="340">
        <f t="shared" si="64"/>
        <v>0</v>
      </c>
      <c r="BD54" s="340">
        <f t="shared" si="65"/>
        <v>0</v>
      </c>
      <c r="BE54" s="340">
        <f t="shared" si="66"/>
        <v>0</v>
      </c>
      <c r="BF54" s="340">
        <f t="shared" si="67"/>
        <v>0</v>
      </c>
      <c r="BG54" s="340">
        <f t="shared" si="68"/>
        <v>0</v>
      </c>
      <c r="BH54" s="339" t="str">
        <f t="shared" si="34"/>
        <v/>
      </c>
      <c r="BI54" s="340" t="str">
        <f t="shared" si="35"/>
        <v/>
      </c>
      <c r="BJ54" s="340" t="str">
        <f t="shared" si="36"/>
        <v/>
      </c>
      <c r="BK54" s="340" t="str">
        <f t="shared" si="37"/>
        <v/>
      </c>
      <c r="BL54" s="340" t="str">
        <f t="shared" si="38"/>
        <v/>
      </c>
      <c r="BM54" s="340" t="str">
        <f t="shared" si="39"/>
        <v/>
      </c>
      <c r="BN54" s="340">
        <f t="shared" si="40"/>
        <v>14</v>
      </c>
      <c r="BO54" s="340" t="str">
        <f t="shared" si="41"/>
        <v/>
      </c>
      <c r="BP54" s="340" t="str">
        <f t="shared" si="42"/>
        <v/>
      </c>
      <c r="BQ54" s="340" t="str">
        <f t="shared" si="43"/>
        <v/>
      </c>
      <c r="BR54" s="340" t="str">
        <f t="shared" si="44"/>
        <v/>
      </c>
      <c r="BS54" s="340" t="str">
        <f t="shared" si="45"/>
        <v/>
      </c>
      <c r="BT54" s="341" t="str">
        <f t="shared" si="46"/>
        <v/>
      </c>
      <c r="BU54" s="324"/>
    </row>
    <row r="55" spans="1:73" s="342" customFormat="1">
      <c r="A55" s="324"/>
      <c r="B55" s="324"/>
      <c r="C55" s="570" t="s">
        <v>546</v>
      </c>
      <c r="D55" s="572">
        <v>10.8</v>
      </c>
      <c r="E55" s="572">
        <v>8.4760000000000009</v>
      </c>
      <c r="F55" s="327">
        <f t="shared" si="48"/>
        <v>2.3239999999999998</v>
      </c>
      <c r="G55" s="570" t="s">
        <v>157</v>
      </c>
      <c r="H55" s="572">
        <v>10.6</v>
      </c>
      <c r="I55" s="572">
        <v>8.1020000000000003</v>
      </c>
      <c r="J55" s="327">
        <f t="shared" si="49"/>
        <v>2.4979999999999993</v>
      </c>
      <c r="K55" s="343">
        <f t="shared" si="50"/>
        <v>2.5</v>
      </c>
      <c r="L55" s="570">
        <v>28</v>
      </c>
      <c r="M55" s="570">
        <v>600</v>
      </c>
      <c r="N55" s="345">
        <f t="shared" si="51"/>
        <v>0</v>
      </c>
      <c r="O55" s="345">
        <v>0</v>
      </c>
      <c r="P55" s="346">
        <f t="shared" si="52"/>
        <v>0</v>
      </c>
      <c r="Q55" s="332" t="str">
        <f t="shared" si="5"/>
        <v/>
      </c>
      <c r="R55" s="332" t="str">
        <f t="shared" si="6"/>
        <v/>
      </c>
      <c r="S55" s="333" t="str">
        <f t="shared" si="7"/>
        <v/>
      </c>
      <c r="T55" s="333" t="str">
        <f t="shared" si="8"/>
        <v/>
      </c>
      <c r="U55" s="333" t="str">
        <f t="shared" si="9"/>
        <v/>
      </c>
      <c r="V55" s="333" t="str">
        <f t="shared" si="10"/>
        <v/>
      </c>
      <c r="W55" s="333">
        <f t="shared" si="11"/>
        <v>0</v>
      </c>
      <c r="X55" s="333" t="str">
        <f t="shared" si="12"/>
        <v/>
      </c>
      <c r="Y55" s="333" t="str">
        <f t="shared" si="13"/>
        <v/>
      </c>
      <c r="Z55" s="333" t="str">
        <f t="shared" si="14"/>
        <v/>
      </c>
      <c r="AA55" s="333" t="str">
        <f t="shared" si="15"/>
        <v/>
      </c>
      <c r="AB55" s="333" t="str">
        <f t="shared" si="16"/>
        <v/>
      </c>
      <c r="AC55" s="334" t="str">
        <f t="shared" si="69"/>
        <v/>
      </c>
      <c r="AD55" s="335"/>
      <c r="AE55" s="336">
        <f t="shared" si="53"/>
        <v>7.9128000000000007</v>
      </c>
      <c r="AF55" s="337">
        <f t="shared" si="54"/>
        <v>60.269999999999996</v>
      </c>
      <c r="AG55" s="338">
        <f t="shared" si="55"/>
        <v>29.295000000000002</v>
      </c>
      <c r="AH55" s="339">
        <v>0</v>
      </c>
      <c r="AI55" s="340">
        <v>0</v>
      </c>
      <c r="AJ55" s="340">
        <v>0</v>
      </c>
      <c r="AK55" s="340">
        <v>0</v>
      </c>
      <c r="AL55" s="340">
        <v>0</v>
      </c>
      <c r="AM55" s="340">
        <v>0</v>
      </c>
      <c r="AN55" s="340">
        <v>0</v>
      </c>
      <c r="AO55" s="340">
        <v>0</v>
      </c>
      <c r="AP55" s="340">
        <v>0</v>
      </c>
      <c r="AQ55" s="340">
        <v>0</v>
      </c>
      <c r="AR55" s="340">
        <v>0</v>
      </c>
      <c r="AS55" s="340">
        <v>0</v>
      </c>
      <c r="AT55" s="341">
        <v>0</v>
      </c>
      <c r="AU55" s="339">
        <f t="shared" si="56"/>
        <v>0</v>
      </c>
      <c r="AV55" s="340">
        <f t="shared" si="57"/>
        <v>0</v>
      </c>
      <c r="AW55" s="340">
        <f t="shared" si="58"/>
        <v>0</v>
      </c>
      <c r="AX55" s="340">
        <f t="shared" si="59"/>
        <v>0</v>
      </c>
      <c r="AY55" s="340">
        <f t="shared" si="60"/>
        <v>0</v>
      </c>
      <c r="AZ55" s="340">
        <f t="shared" si="61"/>
        <v>0</v>
      </c>
      <c r="BA55" s="340">
        <f t="shared" si="62"/>
        <v>0</v>
      </c>
      <c r="BB55" s="340">
        <f t="shared" si="63"/>
        <v>0</v>
      </c>
      <c r="BC55" s="340">
        <f t="shared" si="64"/>
        <v>0</v>
      </c>
      <c r="BD55" s="340">
        <f t="shared" si="65"/>
        <v>0</v>
      </c>
      <c r="BE55" s="340">
        <f t="shared" si="66"/>
        <v>0</v>
      </c>
      <c r="BF55" s="340">
        <f t="shared" si="67"/>
        <v>0</v>
      </c>
      <c r="BG55" s="340">
        <f t="shared" si="68"/>
        <v>0</v>
      </c>
      <c r="BH55" s="339" t="str">
        <f t="shared" si="34"/>
        <v/>
      </c>
      <c r="BI55" s="340" t="str">
        <f t="shared" si="35"/>
        <v/>
      </c>
      <c r="BJ55" s="340" t="str">
        <f t="shared" si="36"/>
        <v/>
      </c>
      <c r="BK55" s="340" t="str">
        <f t="shared" si="37"/>
        <v/>
      </c>
      <c r="BL55" s="340" t="str">
        <f t="shared" si="38"/>
        <v/>
      </c>
      <c r="BM55" s="340" t="str">
        <f t="shared" si="39"/>
        <v/>
      </c>
      <c r="BN55" s="340">
        <f t="shared" si="40"/>
        <v>28</v>
      </c>
      <c r="BO55" s="340" t="str">
        <f t="shared" si="41"/>
        <v/>
      </c>
      <c r="BP55" s="340" t="str">
        <f t="shared" si="42"/>
        <v/>
      </c>
      <c r="BQ55" s="340" t="str">
        <f t="shared" si="43"/>
        <v/>
      </c>
      <c r="BR55" s="340" t="str">
        <f t="shared" si="44"/>
        <v/>
      </c>
      <c r="BS55" s="340" t="str">
        <f t="shared" si="45"/>
        <v/>
      </c>
      <c r="BT55" s="341" t="str">
        <f t="shared" si="46"/>
        <v/>
      </c>
      <c r="BU55" s="324"/>
    </row>
    <row r="56" spans="1:73" s="342" customFormat="1">
      <c r="A56" s="324"/>
      <c r="B56" s="324"/>
      <c r="C56" s="570"/>
      <c r="D56" s="572"/>
      <c r="E56" s="572"/>
      <c r="F56" s="327">
        <f t="shared" si="48"/>
        <v>0</v>
      </c>
      <c r="G56" s="570"/>
      <c r="H56" s="572"/>
      <c r="I56" s="572"/>
      <c r="J56" s="327">
        <f t="shared" si="49"/>
        <v>0</v>
      </c>
      <c r="K56" s="343">
        <f t="shared" si="50"/>
        <v>0</v>
      </c>
      <c r="L56" s="570"/>
      <c r="M56" s="570"/>
      <c r="N56" s="345">
        <f t="shared" si="51"/>
        <v>0</v>
      </c>
      <c r="O56" s="345">
        <v>0</v>
      </c>
      <c r="P56" s="346">
        <f t="shared" si="52"/>
        <v>0</v>
      </c>
      <c r="Q56" s="332" t="str">
        <f t="shared" si="5"/>
        <v/>
      </c>
      <c r="R56" s="332" t="str">
        <f t="shared" si="6"/>
        <v/>
      </c>
      <c r="S56" s="333" t="str">
        <f t="shared" si="7"/>
        <v/>
      </c>
      <c r="T56" s="333" t="str">
        <f t="shared" si="8"/>
        <v/>
      </c>
      <c r="U56" s="333" t="str">
        <f t="shared" si="9"/>
        <v/>
      </c>
      <c r="V56" s="333" t="str">
        <f t="shared" si="10"/>
        <v/>
      </c>
      <c r="W56" s="333" t="str">
        <f t="shared" si="11"/>
        <v/>
      </c>
      <c r="X56" s="333" t="str">
        <f t="shared" si="12"/>
        <v/>
      </c>
      <c r="Y56" s="333" t="str">
        <f t="shared" si="13"/>
        <v/>
      </c>
      <c r="Z56" s="333" t="str">
        <f t="shared" si="14"/>
        <v/>
      </c>
      <c r="AA56" s="333" t="str">
        <f t="shared" si="15"/>
        <v/>
      </c>
      <c r="AB56" s="333" t="str">
        <f t="shared" si="16"/>
        <v/>
      </c>
      <c r="AC56" s="334" t="str">
        <f t="shared" si="69"/>
        <v/>
      </c>
      <c r="AD56" s="335"/>
      <c r="AE56" s="336">
        <f t="shared" si="53"/>
        <v>0</v>
      </c>
      <c r="AF56" s="337">
        <f t="shared" si="54"/>
        <v>0</v>
      </c>
      <c r="AG56" s="338">
        <f t="shared" si="55"/>
        <v>0</v>
      </c>
      <c r="AH56" s="339">
        <v>0</v>
      </c>
      <c r="AI56" s="340">
        <v>0</v>
      </c>
      <c r="AJ56" s="340">
        <v>0</v>
      </c>
      <c r="AK56" s="340">
        <v>0</v>
      </c>
      <c r="AL56" s="340">
        <v>0</v>
      </c>
      <c r="AM56" s="340">
        <v>0</v>
      </c>
      <c r="AN56" s="340">
        <v>0</v>
      </c>
      <c r="AO56" s="340">
        <v>0</v>
      </c>
      <c r="AP56" s="340">
        <v>0</v>
      </c>
      <c r="AQ56" s="340">
        <v>0</v>
      </c>
      <c r="AR56" s="340">
        <v>0</v>
      </c>
      <c r="AS56" s="340">
        <v>0</v>
      </c>
      <c r="AT56" s="341">
        <v>0</v>
      </c>
      <c r="AU56" s="339">
        <f t="shared" si="56"/>
        <v>0</v>
      </c>
      <c r="AV56" s="340">
        <f t="shared" si="57"/>
        <v>0</v>
      </c>
      <c r="AW56" s="340">
        <f t="shared" si="58"/>
        <v>0</v>
      </c>
      <c r="AX56" s="340">
        <f t="shared" si="59"/>
        <v>0</v>
      </c>
      <c r="AY56" s="340">
        <f t="shared" si="60"/>
        <v>0</v>
      </c>
      <c r="AZ56" s="340">
        <f t="shared" si="61"/>
        <v>0</v>
      </c>
      <c r="BA56" s="340">
        <f t="shared" si="62"/>
        <v>0</v>
      </c>
      <c r="BB56" s="340">
        <f t="shared" si="63"/>
        <v>0</v>
      </c>
      <c r="BC56" s="340">
        <f t="shared" si="64"/>
        <v>0</v>
      </c>
      <c r="BD56" s="340">
        <f t="shared" si="65"/>
        <v>0</v>
      </c>
      <c r="BE56" s="340">
        <f t="shared" si="66"/>
        <v>0</v>
      </c>
      <c r="BF56" s="340">
        <f t="shared" si="67"/>
        <v>0</v>
      </c>
      <c r="BG56" s="340">
        <f t="shared" si="68"/>
        <v>0</v>
      </c>
      <c r="BH56" s="339" t="str">
        <f t="shared" si="34"/>
        <v/>
      </c>
      <c r="BI56" s="340" t="str">
        <f t="shared" si="35"/>
        <v/>
      </c>
      <c r="BJ56" s="340" t="str">
        <f t="shared" si="36"/>
        <v/>
      </c>
      <c r="BK56" s="340" t="str">
        <f t="shared" si="37"/>
        <v/>
      </c>
      <c r="BL56" s="340" t="str">
        <f t="shared" si="38"/>
        <v/>
      </c>
      <c r="BM56" s="340" t="str">
        <f t="shared" si="39"/>
        <v/>
      </c>
      <c r="BN56" s="340" t="str">
        <f t="shared" si="40"/>
        <v/>
      </c>
      <c r="BO56" s="340" t="str">
        <f t="shared" si="41"/>
        <v/>
      </c>
      <c r="BP56" s="340" t="str">
        <f t="shared" si="42"/>
        <v/>
      </c>
      <c r="BQ56" s="340" t="str">
        <f t="shared" si="43"/>
        <v/>
      </c>
      <c r="BR56" s="340" t="str">
        <f t="shared" si="44"/>
        <v/>
      </c>
      <c r="BS56" s="340" t="str">
        <f t="shared" si="45"/>
        <v/>
      </c>
      <c r="BT56" s="341" t="str">
        <f t="shared" si="46"/>
        <v/>
      </c>
      <c r="BU56" s="324"/>
    </row>
    <row r="57" spans="1:73" s="342" customFormat="1">
      <c r="A57" s="324"/>
      <c r="B57" s="324"/>
      <c r="C57" s="570" t="s">
        <v>157</v>
      </c>
      <c r="D57" s="572">
        <v>10.6</v>
      </c>
      <c r="E57" s="572">
        <v>8.1020000000000003</v>
      </c>
      <c r="F57" s="327">
        <f t="shared" si="48"/>
        <v>2.4979999999999993</v>
      </c>
      <c r="G57" s="570" t="s">
        <v>545</v>
      </c>
      <c r="H57" s="572">
        <v>10.4</v>
      </c>
      <c r="I57" s="572">
        <v>8.0519999999999996</v>
      </c>
      <c r="J57" s="327">
        <f t="shared" si="49"/>
        <v>2.3480000000000008</v>
      </c>
      <c r="K57" s="343">
        <f t="shared" si="50"/>
        <v>2.5</v>
      </c>
      <c r="L57" s="570">
        <v>20</v>
      </c>
      <c r="M57" s="570">
        <v>900</v>
      </c>
      <c r="N57" s="345">
        <f t="shared" si="51"/>
        <v>0</v>
      </c>
      <c r="O57" s="345">
        <v>0</v>
      </c>
      <c r="P57" s="346">
        <f t="shared" si="52"/>
        <v>0</v>
      </c>
      <c r="Q57" s="332" t="str">
        <f t="shared" si="5"/>
        <v/>
      </c>
      <c r="R57" s="332" t="str">
        <f t="shared" si="6"/>
        <v/>
      </c>
      <c r="S57" s="333" t="str">
        <f t="shared" si="7"/>
        <v/>
      </c>
      <c r="T57" s="333" t="str">
        <f t="shared" si="8"/>
        <v/>
      </c>
      <c r="U57" s="333" t="str">
        <f t="shared" si="9"/>
        <v/>
      </c>
      <c r="V57" s="333" t="str">
        <f t="shared" si="10"/>
        <v/>
      </c>
      <c r="W57" s="333" t="str">
        <f t="shared" si="11"/>
        <v/>
      </c>
      <c r="X57" s="333" t="str">
        <f t="shared" si="12"/>
        <v/>
      </c>
      <c r="Y57" s="333" t="str">
        <f t="shared" si="13"/>
        <v/>
      </c>
      <c r="Z57" s="333">
        <f>L57</f>
        <v>20</v>
      </c>
      <c r="AA57" s="333" t="str">
        <f t="shared" si="15"/>
        <v/>
      </c>
      <c r="AB57" s="333" t="str">
        <f t="shared" si="16"/>
        <v/>
      </c>
      <c r="AC57" s="334" t="str">
        <f t="shared" si="69"/>
        <v/>
      </c>
      <c r="AD57" s="335"/>
      <c r="AE57" s="336">
        <f t="shared" si="53"/>
        <v>12.717000000000001</v>
      </c>
      <c r="AF57" s="337">
        <f t="shared" si="54"/>
        <v>55.35</v>
      </c>
      <c r="AG57" s="338">
        <f t="shared" si="55"/>
        <v>20.925000000000004</v>
      </c>
      <c r="AH57" s="339">
        <v>0</v>
      </c>
      <c r="AI57" s="340">
        <v>0</v>
      </c>
      <c r="AJ57" s="340">
        <v>0</v>
      </c>
      <c r="AK57" s="340">
        <v>0</v>
      </c>
      <c r="AL57" s="340">
        <v>0</v>
      </c>
      <c r="AM57" s="340">
        <v>0</v>
      </c>
      <c r="AN57" s="340">
        <v>0</v>
      </c>
      <c r="AO57" s="340">
        <v>0</v>
      </c>
      <c r="AP57" s="340">
        <v>0</v>
      </c>
      <c r="AQ57" s="340">
        <v>0</v>
      </c>
      <c r="AR57" s="340">
        <v>0</v>
      </c>
      <c r="AS57" s="340">
        <v>0</v>
      </c>
      <c r="AT57" s="341">
        <v>0</v>
      </c>
      <c r="AU57" s="339">
        <f t="shared" si="56"/>
        <v>0</v>
      </c>
      <c r="AV57" s="340">
        <f t="shared" si="57"/>
        <v>0</v>
      </c>
      <c r="AW57" s="340">
        <f t="shared" si="58"/>
        <v>0</v>
      </c>
      <c r="AX57" s="340">
        <f t="shared" si="59"/>
        <v>0</v>
      </c>
      <c r="AY57" s="340">
        <f t="shared" si="60"/>
        <v>0</v>
      </c>
      <c r="AZ57" s="340">
        <f t="shared" si="61"/>
        <v>0</v>
      </c>
      <c r="BA57" s="340">
        <f t="shared" si="62"/>
        <v>0</v>
      </c>
      <c r="BB57" s="340">
        <f t="shared" si="63"/>
        <v>0</v>
      </c>
      <c r="BC57" s="340">
        <f t="shared" si="64"/>
        <v>0</v>
      </c>
      <c r="BD57" s="340">
        <f t="shared" si="65"/>
        <v>0</v>
      </c>
      <c r="BE57" s="340">
        <f t="shared" si="66"/>
        <v>0</v>
      </c>
      <c r="BF57" s="340">
        <f t="shared" si="67"/>
        <v>0</v>
      </c>
      <c r="BG57" s="340">
        <f t="shared" si="68"/>
        <v>0</v>
      </c>
      <c r="BH57" s="339" t="str">
        <f t="shared" si="34"/>
        <v/>
      </c>
      <c r="BI57" s="340" t="str">
        <f t="shared" si="35"/>
        <v/>
      </c>
      <c r="BJ57" s="340" t="str">
        <f t="shared" si="36"/>
        <v/>
      </c>
      <c r="BK57" s="340" t="str">
        <f t="shared" si="37"/>
        <v/>
      </c>
      <c r="BL57" s="340" t="str">
        <f t="shared" si="38"/>
        <v/>
      </c>
      <c r="BM57" s="340" t="str">
        <f t="shared" si="39"/>
        <v/>
      </c>
      <c r="BN57" s="340" t="str">
        <f t="shared" si="40"/>
        <v/>
      </c>
      <c r="BO57" s="340" t="str">
        <f t="shared" si="41"/>
        <v/>
      </c>
      <c r="BP57" s="340" t="str">
        <f t="shared" si="42"/>
        <v/>
      </c>
      <c r="BQ57" s="340">
        <f t="shared" si="43"/>
        <v>20</v>
      </c>
      <c r="BR57" s="340" t="str">
        <f t="shared" si="44"/>
        <v/>
      </c>
      <c r="BS57" s="340" t="str">
        <f t="shared" si="45"/>
        <v/>
      </c>
      <c r="BT57" s="341" t="str">
        <f t="shared" si="46"/>
        <v/>
      </c>
      <c r="BU57" s="324"/>
    </row>
    <row r="58" spans="1:73" s="342" customFormat="1">
      <c r="A58" s="324"/>
      <c r="B58" s="324"/>
      <c r="C58" s="570" t="s">
        <v>545</v>
      </c>
      <c r="D58" s="572">
        <v>10.4</v>
      </c>
      <c r="E58" s="572">
        <v>8.0519999999999996</v>
      </c>
      <c r="F58" s="327">
        <f t="shared" si="48"/>
        <v>2.3480000000000008</v>
      </c>
      <c r="G58" s="570" t="s">
        <v>544</v>
      </c>
      <c r="H58" s="572">
        <v>10.14</v>
      </c>
      <c r="I58" s="572">
        <v>8.0039999999999996</v>
      </c>
      <c r="J58" s="327">
        <f t="shared" si="49"/>
        <v>2.136000000000001</v>
      </c>
      <c r="K58" s="343">
        <f t="shared" si="50"/>
        <v>2.25</v>
      </c>
      <c r="L58" s="570">
        <v>19</v>
      </c>
      <c r="M58" s="570">
        <v>900</v>
      </c>
      <c r="N58" s="345">
        <f t="shared" si="51"/>
        <v>0</v>
      </c>
      <c r="O58" s="345">
        <v>0</v>
      </c>
      <c r="P58" s="346">
        <f t="shared" si="52"/>
        <v>0</v>
      </c>
      <c r="Q58" s="332" t="str">
        <f t="shared" si="5"/>
        <v/>
      </c>
      <c r="R58" s="332" t="str">
        <f t="shared" si="6"/>
        <v/>
      </c>
      <c r="S58" s="333" t="str">
        <f t="shared" si="7"/>
        <v/>
      </c>
      <c r="T58" s="333" t="str">
        <f t="shared" si="8"/>
        <v/>
      </c>
      <c r="U58" s="333" t="str">
        <f t="shared" si="9"/>
        <v/>
      </c>
      <c r="V58" s="333" t="str">
        <f t="shared" si="10"/>
        <v/>
      </c>
      <c r="W58" s="333" t="str">
        <f t="shared" si="11"/>
        <v/>
      </c>
      <c r="X58" s="333" t="str">
        <f t="shared" si="12"/>
        <v/>
      </c>
      <c r="Y58" s="333" t="str">
        <f t="shared" si="13"/>
        <v/>
      </c>
      <c r="Z58" s="333">
        <f>L58</f>
        <v>19</v>
      </c>
      <c r="AA58" s="333" t="str">
        <f t="shared" si="15"/>
        <v/>
      </c>
      <c r="AB58" s="333" t="str">
        <f t="shared" si="16"/>
        <v/>
      </c>
      <c r="AC58" s="334" t="str">
        <f t="shared" si="69"/>
        <v/>
      </c>
      <c r="AD58" s="335"/>
      <c r="AE58" s="336">
        <f t="shared" si="53"/>
        <v>12.081150000000001</v>
      </c>
      <c r="AF58" s="337">
        <f t="shared" si="54"/>
        <v>46.17</v>
      </c>
      <c r="AG58" s="338">
        <f t="shared" si="55"/>
        <v>19.878750000000004</v>
      </c>
      <c r="AH58" s="339">
        <v>0</v>
      </c>
      <c r="AI58" s="340">
        <v>0</v>
      </c>
      <c r="AJ58" s="340">
        <v>0</v>
      </c>
      <c r="AK58" s="340">
        <v>0</v>
      </c>
      <c r="AL58" s="340">
        <v>0</v>
      </c>
      <c r="AM58" s="340">
        <v>0</v>
      </c>
      <c r="AN58" s="340">
        <v>0</v>
      </c>
      <c r="AO58" s="340">
        <v>0</v>
      </c>
      <c r="AP58" s="340">
        <v>0</v>
      </c>
      <c r="AQ58" s="340">
        <v>0</v>
      </c>
      <c r="AR58" s="340">
        <v>0</v>
      </c>
      <c r="AS58" s="340">
        <v>0</v>
      </c>
      <c r="AT58" s="341">
        <v>0</v>
      </c>
      <c r="AU58" s="339">
        <f t="shared" si="56"/>
        <v>0</v>
      </c>
      <c r="AV58" s="340">
        <f t="shared" si="57"/>
        <v>0</v>
      </c>
      <c r="AW58" s="340">
        <f t="shared" si="58"/>
        <v>0</v>
      </c>
      <c r="AX58" s="340">
        <f t="shared" si="59"/>
        <v>0</v>
      </c>
      <c r="AY58" s="340">
        <f t="shared" si="60"/>
        <v>0</v>
      </c>
      <c r="AZ58" s="340">
        <f t="shared" si="61"/>
        <v>0</v>
      </c>
      <c r="BA58" s="340">
        <f t="shared" si="62"/>
        <v>0</v>
      </c>
      <c r="BB58" s="340">
        <f t="shared" si="63"/>
        <v>0</v>
      </c>
      <c r="BC58" s="340">
        <f t="shared" si="64"/>
        <v>0</v>
      </c>
      <c r="BD58" s="340">
        <f t="shared" si="65"/>
        <v>0</v>
      </c>
      <c r="BE58" s="340">
        <f t="shared" si="66"/>
        <v>0</v>
      </c>
      <c r="BF58" s="340">
        <f t="shared" si="67"/>
        <v>0</v>
      </c>
      <c r="BG58" s="340">
        <f t="shared" si="68"/>
        <v>0</v>
      </c>
      <c r="BH58" s="339" t="str">
        <f t="shared" si="34"/>
        <v/>
      </c>
      <c r="BI58" s="340" t="str">
        <f t="shared" si="35"/>
        <v/>
      </c>
      <c r="BJ58" s="340" t="str">
        <f t="shared" si="36"/>
        <v/>
      </c>
      <c r="BK58" s="340" t="str">
        <f t="shared" si="37"/>
        <v/>
      </c>
      <c r="BL58" s="340" t="str">
        <f t="shared" si="38"/>
        <v/>
      </c>
      <c r="BM58" s="340" t="str">
        <f t="shared" si="39"/>
        <v/>
      </c>
      <c r="BN58" s="340" t="str">
        <f t="shared" si="40"/>
        <v/>
      </c>
      <c r="BO58" s="340" t="str">
        <f t="shared" si="41"/>
        <v/>
      </c>
      <c r="BP58" s="340" t="str">
        <f t="shared" si="42"/>
        <v/>
      </c>
      <c r="BQ58" s="340">
        <f t="shared" si="43"/>
        <v>19</v>
      </c>
      <c r="BR58" s="340" t="str">
        <f t="shared" si="44"/>
        <v/>
      </c>
      <c r="BS58" s="340" t="str">
        <f t="shared" si="45"/>
        <v/>
      </c>
      <c r="BT58" s="341" t="str">
        <f t="shared" si="46"/>
        <v/>
      </c>
      <c r="BU58" s="324"/>
    </row>
    <row r="59" spans="1:73" s="342" customFormat="1">
      <c r="A59" s="324"/>
      <c r="B59" s="324"/>
      <c r="C59" s="570" t="s">
        <v>544</v>
      </c>
      <c r="D59" s="572">
        <v>10.14</v>
      </c>
      <c r="E59" s="572">
        <v>8.0039999999999996</v>
      </c>
      <c r="F59" s="327">
        <f t="shared" si="48"/>
        <v>2.136000000000001</v>
      </c>
      <c r="G59" s="570" t="s">
        <v>543</v>
      </c>
      <c r="H59" s="572">
        <v>10.1</v>
      </c>
      <c r="I59" s="572">
        <v>7.9770000000000003</v>
      </c>
      <c r="J59" s="327">
        <f t="shared" si="49"/>
        <v>2.1229999999999993</v>
      </c>
      <c r="K59" s="343">
        <f t="shared" si="50"/>
        <v>2.25</v>
      </c>
      <c r="L59" s="570">
        <v>10</v>
      </c>
      <c r="M59" s="570">
        <v>900</v>
      </c>
      <c r="N59" s="345">
        <f t="shared" si="51"/>
        <v>0</v>
      </c>
      <c r="O59" s="345">
        <v>0</v>
      </c>
      <c r="P59" s="346">
        <f t="shared" si="52"/>
        <v>0</v>
      </c>
      <c r="Q59" s="332" t="str">
        <f t="shared" si="5"/>
        <v/>
      </c>
      <c r="R59" s="332" t="str">
        <f t="shared" si="6"/>
        <v/>
      </c>
      <c r="S59" s="333" t="str">
        <f t="shared" si="7"/>
        <v/>
      </c>
      <c r="T59" s="333" t="str">
        <f t="shared" si="8"/>
        <v/>
      </c>
      <c r="U59" s="333" t="str">
        <f t="shared" si="9"/>
        <v/>
      </c>
      <c r="V59" s="333" t="str">
        <f t="shared" si="10"/>
        <v/>
      </c>
      <c r="W59" s="333" t="str">
        <f t="shared" si="11"/>
        <v/>
      </c>
      <c r="X59" s="333" t="str">
        <f t="shared" si="12"/>
        <v/>
      </c>
      <c r="Y59" s="333" t="str">
        <f t="shared" si="13"/>
        <v/>
      </c>
      <c r="Z59" s="333">
        <f>L59</f>
        <v>10</v>
      </c>
      <c r="AA59" s="333" t="str">
        <f t="shared" si="15"/>
        <v/>
      </c>
      <c r="AB59" s="333" t="str">
        <f t="shared" si="16"/>
        <v/>
      </c>
      <c r="AC59" s="334" t="str">
        <f t="shared" si="69"/>
        <v/>
      </c>
      <c r="AD59" s="335"/>
      <c r="AE59" s="336">
        <f t="shared" si="53"/>
        <v>6.3585000000000003</v>
      </c>
      <c r="AF59" s="337">
        <f t="shared" si="54"/>
        <v>24.3</v>
      </c>
      <c r="AG59" s="338">
        <f t="shared" si="55"/>
        <v>10.462500000000002</v>
      </c>
      <c r="AH59" s="339">
        <v>0</v>
      </c>
      <c r="AI59" s="340">
        <v>0</v>
      </c>
      <c r="AJ59" s="340">
        <v>0</v>
      </c>
      <c r="AK59" s="340">
        <v>0</v>
      </c>
      <c r="AL59" s="340">
        <v>0</v>
      </c>
      <c r="AM59" s="340">
        <v>0</v>
      </c>
      <c r="AN59" s="340">
        <v>0</v>
      </c>
      <c r="AO59" s="340">
        <v>0</v>
      </c>
      <c r="AP59" s="340">
        <v>0</v>
      </c>
      <c r="AQ59" s="340">
        <v>0</v>
      </c>
      <c r="AR59" s="340">
        <v>0</v>
      </c>
      <c r="AS59" s="340">
        <v>0</v>
      </c>
      <c r="AT59" s="341">
        <v>0</v>
      </c>
      <c r="AU59" s="339">
        <f t="shared" si="56"/>
        <v>0</v>
      </c>
      <c r="AV59" s="340">
        <f t="shared" si="57"/>
        <v>0</v>
      </c>
      <c r="AW59" s="340">
        <f t="shared" si="58"/>
        <v>0</v>
      </c>
      <c r="AX59" s="340">
        <f t="shared" si="59"/>
        <v>0</v>
      </c>
      <c r="AY59" s="340">
        <f t="shared" si="60"/>
        <v>0</v>
      </c>
      <c r="AZ59" s="340">
        <f t="shared" si="61"/>
        <v>0</v>
      </c>
      <c r="BA59" s="340">
        <f t="shared" si="62"/>
        <v>0</v>
      </c>
      <c r="BB59" s="340">
        <f t="shared" si="63"/>
        <v>0</v>
      </c>
      <c r="BC59" s="340">
        <f t="shared" si="64"/>
        <v>0</v>
      </c>
      <c r="BD59" s="340">
        <f t="shared" si="65"/>
        <v>0</v>
      </c>
      <c r="BE59" s="340">
        <f t="shared" si="66"/>
        <v>0</v>
      </c>
      <c r="BF59" s="340">
        <f t="shared" si="67"/>
        <v>0</v>
      </c>
      <c r="BG59" s="340">
        <f t="shared" si="68"/>
        <v>0</v>
      </c>
      <c r="BH59" s="339" t="str">
        <f t="shared" si="34"/>
        <v/>
      </c>
      <c r="BI59" s="340" t="str">
        <f t="shared" si="35"/>
        <v/>
      </c>
      <c r="BJ59" s="340" t="str">
        <f t="shared" si="36"/>
        <v/>
      </c>
      <c r="BK59" s="340" t="str">
        <f t="shared" si="37"/>
        <v/>
      </c>
      <c r="BL59" s="340" t="str">
        <f t="shared" si="38"/>
        <v/>
      </c>
      <c r="BM59" s="340" t="str">
        <f t="shared" si="39"/>
        <v/>
      </c>
      <c r="BN59" s="340" t="str">
        <f t="shared" si="40"/>
        <v/>
      </c>
      <c r="BO59" s="340" t="str">
        <f t="shared" si="41"/>
        <v/>
      </c>
      <c r="BP59" s="340" t="str">
        <f t="shared" si="42"/>
        <v/>
      </c>
      <c r="BQ59" s="340">
        <f t="shared" si="43"/>
        <v>10</v>
      </c>
      <c r="BR59" s="340" t="str">
        <f t="shared" si="44"/>
        <v/>
      </c>
      <c r="BS59" s="340" t="str">
        <f t="shared" si="45"/>
        <v/>
      </c>
      <c r="BT59" s="341" t="str">
        <f t="shared" si="46"/>
        <v/>
      </c>
      <c r="BU59" s="324"/>
    </row>
    <row r="60" spans="1:73" s="342" customFormat="1">
      <c r="A60" s="324"/>
      <c r="B60" s="324"/>
      <c r="C60" s="570" t="s">
        <v>543</v>
      </c>
      <c r="D60" s="572">
        <v>10.1</v>
      </c>
      <c r="E60" s="572">
        <v>7.9770000000000003</v>
      </c>
      <c r="F60" s="327">
        <f t="shared" si="48"/>
        <v>2.1229999999999993</v>
      </c>
      <c r="G60" s="570" t="s">
        <v>156</v>
      </c>
      <c r="H60" s="572">
        <v>9.99</v>
      </c>
      <c r="I60" s="572">
        <v>7.9560000000000004</v>
      </c>
      <c r="J60" s="327">
        <f t="shared" si="49"/>
        <v>2.0339999999999998</v>
      </c>
      <c r="K60" s="343">
        <f t="shared" si="50"/>
        <v>2.25</v>
      </c>
      <c r="L60" s="570">
        <v>9</v>
      </c>
      <c r="M60" s="570">
        <v>900</v>
      </c>
      <c r="N60" s="345">
        <f t="shared" si="51"/>
        <v>0</v>
      </c>
      <c r="O60" s="345">
        <v>0</v>
      </c>
      <c r="P60" s="346">
        <f t="shared" si="52"/>
        <v>0</v>
      </c>
      <c r="Q60" s="332" t="str">
        <f t="shared" si="5"/>
        <v/>
      </c>
      <c r="R60" s="332" t="str">
        <f t="shared" si="6"/>
        <v/>
      </c>
      <c r="S60" s="333" t="str">
        <f t="shared" si="7"/>
        <v/>
      </c>
      <c r="T60" s="333" t="str">
        <f t="shared" si="8"/>
        <v/>
      </c>
      <c r="U60" s="333" t="str">
        <f t="shared" si="9"/>
        <v/>
      </c>
      <c r="V60" s="333" t="str">
        <f t="shared" si="10"/>
        <v/>
      </c>
      <c r="W60" s="333" t="str">
        <f t="shared" si="11"/>
        <v/>
      </c>
      <c r="X60" s="333" t="str">
        <f t="shared" si="12"/>
        <v/>
      </c>
      <c r="Y60" s="333" t="str">
        <f t="shared" si="13"/>
        <v/>
      </c>
      <c r="Z60" s="333">
        <f>L60</f>
        <v>9</v>
      </c>
      <c r="AA60" s="333" t="str">
        <f t="shared" si="15"/>
        <v/>
      </c>
      <c r="AB60" s="333" t="str">
        <f t="shared" si="16"/>
        <v/>
      </c>
      <c r="AC60" s="334" t="str">
        <f t="shared" si="69"/>
        <v/>
      </c>
      <c r="AD60" s="335"/>
      <c r="AE60" s="336">
        <f t="shared" si="53"/>
        <v>5.7226499999999998</v>
      </c>
      <c r="AF60" s="337">
        <f t="shared" si="54"/>
        <v>21.87</v>
      </c>
      <c r="AG60" s="338">
        <f t="shared" si="55"/>
        <v>9.4162500000000016</v>
      </c>
      <c r="AH60" s="339">
        <v>0</v>
      </c>
      <c r="AI60" s="340">
        <v>0</v>
      </c>
      <c r="AJ60" s="340">
        <v>0</v>
      </c>
      <c r="AK60" s="340">
        <v>0</v>
      </c>
      <c r="AL60" s="340">
        <v>0</v>
      </c>
      <c r="AM60" s="340">
        <v>0</v>
      </c>
      <c r="AN60" s="340">
        <v>0</v>
      </c>
      <c r="AO60" s="340">
        <v>0</v>
      </c>
      <c r="AP60" s="340">
        <v>0</v>
      </c>
      <c r="AQ60" s="340">
        <v>0</v>
      </c>
      <c r="AR60" s="340">
        <v>0</v>
      </c>
      <c r="AS60" s="340">
        <v>0</v>
      </c>
      <c r="AT60" s="341">
        <v>0</v>
      </c>
      <c r="AU60" s="339">
        <f t="shared" si="56"/>
        <v>0</v>
      </c>
      <c r="AV60" s="340">
        <f t="shared" si="57"/>
        <v>0</v>
      </c>
      <c r="AW60" s="340">
        <f t="shared" si="58"/>
        <v>0</v>
      </c>
      <c r="AX60" s="340">
        <f t="shared" si="59"/>
        <v>0</v>
      </c>
      <c r="AY60" s="340">
        <f t="shared" si="60"/>
        <v>0</v>
      </c>
      <c r="AZ60" s="340">
        <f t="shared" si="61"/>
        <v>0</v>
      </c>
      <c r="BA60" s="340">
        <f t="shared" si="62"/>
        <v>0</v>
      </c>
      <c r="BB60" s="340">
        <f t="shared" si="63"/>
        <v>0</v>
      </c>
      <c r="BC60" s="340">
        <f t="shared" si="64"/>
        <v>0</v>
      </c>
      <c r="BD60" s="340">
        <f t="shared" si="65"/>
        <v>0</v>
      </c>
      <c r="BE60" s="340">
        <f t="shared" si="66"/>
        <v>0</v>
      </c>
      <c r="BF60" s="340">
        <f t="shared" si="67"/>
        <v>0</v>
      </c>
      <c r="BG60" s="340">
        <f t="shared" si="68"/>
        <v>0</v>
      </c>
      <c r="BH60" s="339" t="str">
        <f t="shared" si="34"/>
        <v/>
      </c>
      <c r="BI60" s="340" t="str">
        <f t="shared" si="35"/>
        <v/>
      </c>
      <c r="BJ60" s="340" t="str">
        <f t="shared" si="36"/>
        <v/>
      </c>
      <c r="BK60" s="340" t="str">
        <f t="shared" si="37"/>
        <v/>
      </c>
      <c r="BL60" s="340" t="str">
        <f t="shared" si="38"/>
        <v/>
      </c>
      <c r="BM60" s="340" t="str">
        <f t="shared" si="39"/>
        <v/>
      </c>
      <c r="BN60" s="340" t="str">
        <f t="shared" si="40"/>
        <v/>
      </c>
      <c r="BO60" s="340" t="str">
        <f t="shared" si="41"/>
        <v/>
      </c>
      <c r="BP60" s="340" t="str">
        <f t="shared" si="42"/>
        <v/>
      </c>
      <c r="BQ60" s="340">
        <f t="shared" si="43"/>
        <v>9</v>
      </c>
      <c r="BR60" s="340" t="str">
        <f t="shared" si="44"/>
        <v/>
      </c>
      <c r="BS60" s="340" t="str">
        <f t="shared" si="45"/>
        <v/>
      </c>
      <c r="BT60" s="341" t="str">
        <f t="shared" si="46"/>
        <v/>
      </c>
      <c r="BU60" s="324"/>
    </row>
    <row r="61" spans="1:73" s="342" customFormat="1">
      <c r="A61" s="324"/>
      <c r="B61" s="324"/>
      <c r="C61" s="570" t="s">
        <v>156</v>
      </c>
      <c r="D61" s="572">
        <v>9.99</v>
      </c>
      <c r="E61" s="572">
        <v>7.9560000000000004</v>
      </c>
      <c r="F61" s="327">
        <f t="shared" si="48"/>
        <v>2.0339999999999998</v>
      </c>
      <c r="G61" s="570" t="s">
        <v>542</v>
      </c>
      <c r="H61" s="572">
        <v>9.5</v>
      </c>
      <c r="I61" s="572">
        <v>7.8949999999999996</v>
      </c>
      <c r="J61" s="327">
        <f t="shared" si="49"/>
        <v>1.6050000000000004</v>
      </c>
      <c r="K61" s="343">
        <f t="shared" si="50"/>
        <v>2</v>
      </c>
      <c r="L61" s="570">
        <v>24</v>
      </c>
      <c r="M61" s="570">
        <v>900</v>
      </c>
      <c r="N61" s="345">
        <f t="shared" si="51"/>
        <v>0</v>
      </c>
      <c r="O61" s="345">
        <v>0</v>
      </c>
      <c r="P61" s="346">
        <f t="shared" si="52"/>
        <v>0</v>
      </c>
      <c r="Q61" s="332" t="str">
        <f t="shared" si="5"/>
        <v/>
      </c>
      <c r="R61" s="332" t="str">
        <f t="shared" si="6"/>
        <v/>
      </c>
      <c r="S61" s="333" t="str">
        <f t="shared" si="7"/>
        <v/>
      </c>
      <c r="T61" s="333" t="str">
        <f t="shared" si="8"/>
        <v/>
      </c>
      <c r="U61" s="333" t="str">
        <f t="shared" si="9"/>
        <v/>
      </c>
      <c r="V61" s="333" t="str">
        <f t="shared" si="10"/>
        <v/>
      </c>
      <c r="W61" s="333" t="str">
        <f t="shared" si="11"/>
        <v/>
      </c>
      <c r="X61" s="333" t="str">
        <f t="shared" si="12"/>
        <v/>
      </c>
      <c r="Y61" s="333" t="str">
        <f t="shared" si="13"/>
        <v/>
      </c>
      <c r="Z61" s="333">
        <f>L61</f>
        <v>24</v>
      </c>
      <c r="AA61" s="333" t="str">
        <f t="shared" si="15"/>
        <v/>
      </c>
      <c r="AB61" s="333" t="str">
        <f t="shared" si="16"/>
        <v/>
      </c>
      <c r="AC61" s="334" t="str">
        <f t="shared" si="69"/>
        <v/>
      </c>
      <c r="AD61" s="335"/>
      <c r="AE61" s="336">
        <f t="shared" si="53"/>
        <v>15.260400000000001</v>
      </c>
      <c r="AF61" s="337">
        <f t="shared" si="54"/>
        <v>50.220000000000006</v>
      </c>
      <c r="AG61" s="338">
        <f t="shared" si="55"/>
        <v>25.110000000000003</v>
      </c>
      <c r="AH61" s="339">
        <v>0</v>
      </c>
      <c r="AI61" s="340">
        <v>0</v>
      </c>
      <c r="AJ61" s="340">
        <v>0</v>
      </c>
      <c r="AK61" s="340">
        <v>0</v>
      </c>
      <c r="AL61" s="340">
        <v>0</v>
      </c>
      <c r="AM61" s="340">
        <v>0</v>
      </c>
      <c r="AN61" s="340">
        <v>0</v>
      </c>
      <c r="AO61" s="340">
        <v>0</v>
      </c>
      <c r="AP61" s="340">
        <v>0</v>
      </c>
      <c r="AQ61" s="340">
        <v>0</v>
      </c>
      <c r="AR61" s="340">
        <v>0</v>
      </c>
      <c r="AS61" s="340">
        <v>0</v>
      </c>
      <c r="AT61" s="341">
        <v>0</v>
      </c>
      <c r="AU61" s="339">
        <f t="shared" si="56"/>
        <v>0</v>
      </c>
      <c r="AV61" s="340">
        <f t="shared" si="57"/>
        <v>0</v>
      </c>
      <c r="AW61" s="340">
        <f t="shared" si="58"/>
        <v>0</v>
      </c>
      <c r="AX61" s="340">
        <f t="shared" si="59"/>
        <v>0</v>
      </c>
      <c r="AY61" s="340">
        <f t="shared" si="60"/>
        <v>0</v>
      </c>
      <c r="AZ61" s="340">
        <f t="shared" si="61"/>
        <v>0</v>
      </c>
      <c r="BA61" s="340">
        <f t="shared" si="62"/>
        <v>0</v>
      </c>
      <c r="BB61" s="340">
        <f t="shared" si="63"/>
        <v>0</v>
      </c>
      <c r="BC61" s="340">
        <f t="shared" si="64"/>
        <v>0</v>
      </c>
      <c r="BD61" s="340">
        <f t="shared" si="65"/>
        <v>0</v>
      </c>
      <c r="BE61" s="340">
        <f t="shared" si="66"/>
        <v>0</v>
      </c>
      <c r="BF61" s="340">
        <f t="shared" si="67"/>
        <v>0</v>
      </c>
      <c r="BG61" s="340">
        <f t="shared" si="68"/>
        <v>0</v>
      </c>
      <c r="BH61" s="339" t="str">
        <f t="shared" si="34"/>
        <v/>
      </c>
      <c r="BI61" s="340" t="str">
        <f t="shared" si="35"/>
        <v/>
      </c>
      <c r="BJ61" s="340" t="str">
        <f t="shared" si="36"/>
        <v/>
      </c>
      <c r="BK61" s="340" t="str">
        <f t="shared" si="37"/>
        <v/>
      </c>
      <c r="BL61" s="340" t="str">
        <f t="shared" si="38"/>
        <v/>
      </c>
      <c r="BM61" s="340" t="str">
        <f t="shared" si="39"/>
        <v/>
      </c>
      <c r="BN61" s="340" t="str">
        <f t="shared" si="40"/>
        <v/>
      </c>
      <c r="BO61" s="340" t="str">
        <f t="shared" si="41"/>
        <v/>
      </c>
      <c r="BP61" s="340" t="str">
        <f t="shared" si="42"/>
        <v/>
      </c>
      <c r="BQ61" s="340">
        <f t="shared" si="43"/>
        <v>24</v>
      </c>
      <c r="BR61" s="340" t="str">
        <f t="shared" si="44"/>
        <v/>
      </c>
      <c r="BS61" s="340" t="str">
        <f t="shared" si="45"/>
        <v/>
      </c>
      <c r="BT61" s="341" t="str">
        <f t="shared" si="46"/>
        <v/>
      </c>
      <c r="BU61" s="324"/>
    </row>
    <row r="62" spans="1:73" s="342" customFormat="1">
      <c r="A62" s="324"/>
      <c r="B62" s="324"/>
      <c r="C62" s="570"/>
      <c r="D62" s="572"/>
      <c r="E62" s="572"/>
      <c r="F62" s="327">
        <f t="shared" si="48"/>
        <v>0</v>
      </c>
      <c r="G62" s="570"/>
      <c r="H62" s="572"/>
      <c r="I62" s="572"/>
      <c r="J62" s="327">
        <f t="shared" si="49"/>
        <v>0</v>
      </c>
      <c r="K62" s="343">
        <f t="shared" si="50"/>
        <v>0</v>
      </c>
      <c r="L62" s="570"/>
      <c r="M62" s="570"/>
      <c r="N62" s="345">
        <f t="shared" si="51"/>
        <v>0</v>
      </c>
      <c r="O62" s="345">
        <v>0</v>
      </c>
      <c r="P62" s="346">
        <f t="shared" si="52"/>
        <v>0</v>
      </c>
      <c r="Q62" s="332" t="str">
        <f t="shared" si="5"/>
        <v/>
      </c>
      <c r="R62" s="332" t="str">
        <f t="shared" si="6"/>
        <v/>
      </c>
      <c r="S62" s="333" t="str">
        <f t="shared" si="7"/>
        <v/>
      </c>
      <c r="T62" s="333" t="str">
        <f t="shared" si="8"/>
        <v/>
      </c>
      <c r="U62" s="333" t="str">
        <f t="shared" si="9"/>
        <v/>
      </c>
      <c r="V62" s="333" t="str">
        <f t="shared" si="10"/>
        <v/>
      </c>
      <c r="W62" s="333" t="str">
        <f t="shared" si="11"/>
        <v/>
      </c>
      <c r="X62" s="333" t="str">
        <f t="shared" si="12"/>
        <v/>
      </c>
      <c r="Y62" s="333" t="str">
        <f t="shared" si="13"/>
        <v/>
      </c>
      <c r="Z62" s="333" t="str">
        <f t="shared" si="14"/>
        <v/>
      </c>
      <c r="AA62" s="333" t="str">
        <f t="shared" si="15"/>
        <v/>
      </c>
      <c r="AB62" s="333" t="str">
        <f t="shared" si="16"/>
        <v/>
      </c>
      <c r="AC62" s="334" t="str">
        <f t="shared" si="69"/>
        <v/>
      </c>
      <c r="AD62" s="335"/>
      <c r="AE62" s="336">
        <f t="shared" si="53"/>
        <v>0</v>
      </c>
      <c r="AF62" s="337">
        <f t="shared" si="54"/>
        <v>0</v>
      </c>
      <c r="AG62" s="338">
        <f t="shared" si="55"/>
        <v>0</v>
      </c>
      <c r="AH62" s="339">
        <v>0</v>
      </c>
      <c r="AI62" s="340">
        <v>0</v>
      </c>
      <c r="AJ62" s="340">
        <v>0</v>
      </c>
      <c r="AK62" s="340">
        <v>0</v>
      </c>
      <c r="AL62" s="340">
        <v>0</v>
      </c>
      <c r="AM62" s="340">
        <v>0</v>
      </c>
      <c r="AN62" s="340">
        <v>0</v>
      </c>
      <c r="AO62" s="340">
        <v>0</v>
      </c>
      <c r="AP62" s="340">
        <v>0</v>
      </c>
      <c r="AQ62" s="340">
        <v>0</v>
      </c>
      <c r="AR62" s="340">
        <v>0</v>
      </c>
      <c r="AS62" s="340">
        <v>0</v>
      </c>
      <c r="AT62" s="341">
        <v>0</v>
      </c>
      <c r="AU62" s="339">
        <f t="shared" si="56"/>
        <v>0</v>
      </c>
      <c r="AV62" s="340">
        <f t="shared" si="57"/>
        <v>0</v>
      </c>
      <c r="AW62" s="340">
        <f t="shared" si="58"/>
        <v>0</v>
      </c>
      <c r="AX62" s="340">
        <f t="shared" si="59"/>
        <v>0</v>
      </c>
      <c r="AY62" s="340">
        <f t="shared" si="60"/>
        <v>0</v>
      </c>
      <c r="AZ62" s="340">
        <f t="shared" si="61"/>
        <v>0</v>
      </c>
      <c r="BA62" s="340">
        <f t="shared" si="62"/>
        <v>0</v>
      </c>
      <c r="BB62" s="340">
        <f t="shared" si="63"/>
        <v>0</v>
      </c>
      <c r="BC62" s="340">
        <f t="shared" si="64"/>
        <v>0</v>
      </c>
      <c r="BD62" s="340">
        <f t="shared" si="65"/>
        <v>0</v>
      </c>
      <c r="BE62" s="340">
        <f t="shared" si="66"/>
        <v>0</v>
      </c>
      <c r="BF62" s="340">
        <f t="shared" si="67"/>
        <v>0</v>
      </c>
      <c r="BG62" s="340">
        <f t="shared" si="68"/>
        <v>0</v>
      </c>
      <c r="BH62" s="339" t="str">
        <f t="shared" si="34"/>
        <v/>
      </c>
      <c r="BI62" s="340" t="str">
        <f t="shared" si="35"/>
        <v/>
      </c>
      <c r="BJ62" s="340" t="str">
        <f t="shared" si="36"/>
        <v/>
      </c>
      <c r="BK62" s="340" t="str">
        <f t="shared" si="37"/>
        <v/>
      </c>
      <c r="BL62" s="340" t="str">
        <f t="shared" si="38"/>
        <v/>
      </c>
      <c r="BM62" s="340" t="str">
        <f t="shared" si="39"/>
        <v/>
      </c>
      <c r="BN62" s="340" t="str">
        <f t="shared" si="40"/>
        <v/>
      </c>
      <c r="BO62" s="340" t="str">
        <f t="shared" si="41"/>
        <v/>
      </c>
      <c r="BP62" s="340" t="str">
        <f t="shared" si="42"/>
        <v/>
      </c>
      <c r="BQ62" s="340" t="str">
        <f t="shared" si="43"/>
        <v/>
      </c>
      <c r="BR62" s="340" t="str">
        <f t="shared" si="44"/>
        <v/>
      </c>
      <c r="BS62" s="340" t="str">
        <f t="shared" si="45"/>
        <v/>
      </c>
      <c r="BT62" s="341" t="str">
        <f t="shared" si="46"/>
        <v/>
      </c>
      <c r="BU62" s="324"/>
    </row>
    <row r="63" spans="1:73" s="342" customFormat="1">
      <c r="A63" s="324"/>
      <c r="B63" s="324"/>
      <c r="C63" s="570" t="s">
        <v>541</v>
      </c>
      <c r="D63" s="572">
        <v>9.5</v>
      </c>
      <c r="E63" s="572">
        <v>7.85</v>
      </c>
      <c r="F63" s="327">
        <f t="shared" si="48"/>
        <v>1.6500000000000004</v>
      </c>
      <c r="G63" s="570" t="s">
        <v>153</v>
      </c>
      <c r="H63" s="572">
        <v>10</v>
      </c>
      <c r="I63" s="572">
        <v>7.8310000000000004</v>
      </c>
      <c r="J63" s="327">
        <f t="shared" si="49"/>
        <v>2.1689999999999996</v>
      </c>
      <c r="K63" s="343">
        <f t="shared" si="50"/>
        <v>2</v>
      </c>
      <c r="L63" s="570">
        <v>8</v>
      </c>
      <c r="M63" s="570">
        <v>825</v>
      </c>
      <c r="N63" s="345">
        <f t="shared" si="51"/>
        <v>20</v>
      </c>
      <c r="O63" s="345">
        <v>0</v>
      </c>
      <c r="P63" s="346">
        <f t="shared" si="52"/>
        <v>20</v>
      </c>
      <c r="Q63" s="332" t="str">
        <f t="shared" si="5"/>
        <v/>
      </c>
      <c r="R63" s="332" t="str">
        <f t="shared" si="6"/>
        <v/>
      </c>
      <c r="S63" s="333" t="str">
        <f t="shared" si="7"/>
        <v/>
      </c>
      <c r="T63" s="333" t="str">
        <f t="shared" si="8"/>
        <v/>
      </c>
      <c r="U63" s="333" t="str">
        <f t="shared" si="9"/>
        <v/>
      </c>
      <c r="V63" s="333" t="str">
        <f t="shared" si="10"/>
        <v/>
      </c>
      <c r="W63" s="333" t="str">
        <f t="shared" si="11"/>
        <v/>
      </c>
      <c r="X63" s="333" t="str">
        <f t="shared" si="12"/>
        <v/>
      </c>
      <c r="Y63" s="333" t="str">
        <f t="shared" si="13"/>
        <v/>
      </c>
      <c r="Z63" s="333" t="str">
        <f t="shared" si="14"/>
        <v/>
      </c>
      <c r="AA63" s="333" t="str">
        <f t="shared" si="15"/>
        <v/>
      </c>
      <c r="AB63" s="333" t="str">
        <f t="shared" si="16"/>
        <v/>
      </c>
      <c r="AC63" s="334" t="str">
        <f t="shared" si="69"/>
        <v/>
      </c>
      <c r="AD63" s="335"/>
      <c r="AE63" s="336">
        <f t="shared" si="53"/>
        <v>4.2743250000000002</v>
      </c>
      <c r="AF63" s="337">
        <f t="shared" si="54"/>
        <v>15.809999999999999</v>
      </c>
      <c r="AG63" s="338">
        <f t="shared" si="55"/>
        <v>8.370000000000001</v>
      </c>
      <c r="AH63" s="339">
        <v>0</v>
      </c>
      <c r="AI63" s="340">
        <v>0</v>
      </c>
      <c r="AJ63" s="340">
        <v>0</v>
      </c>
      <c r="AK63" s="340">
        <v>0</v>
      </c>
      <c r="AL63" s="340">
        <v>0</v>
      </c>
      <c r="AM63" s="340">
        <v>0</v>
      </c>
      <c r="AN63" s="340">
        <v>0</v>
      </c>
      <c r="AO63" s="340">
        <v>0</v>
      </c>
      <c r="AP63" s="340">
        <v>0</v>
      </c>
      <c r="AQ63" s="340">
        <v>0</v>
      </c>
      <c r="AR63" s="340">
        <v>0</v>
      </c>
      <c r="AS63" s="340">
        <v>0</v>
      </c>
      <c r="AT63" s="341">
        <v>0</v>
      </c>
      <c r="AU63" s="339">
        <f t="shared" si="56"/>
        <v>0</v>
      </c>
      <c r="AV63" s="340">
        <f t="shared" si="57"/>
        <v>0</v>
      </c>
      <c r="AW63" s="340">
        <f t="shared" si="58"/>
        <v>0</v>
      </c>
      <c r="AX63" s="340">
        <f t="shared" si="59"/>
        <v>0</v>
      </c>
      <c r="AY63" s="340">
        <f t="shared" si="60"/>
        <v>0</v>
      </c>
      <c r="AZ63" s="340">
        <f t="shared" si="61"/>
        <v>0</v>
      </c>
      <c r="BA63" s="340">
        <f t="shared" si="62"/>
        <v>0</v>
      </c>
      <c r="BB63" s="340">
        <f t="shared" si="63"/>
        <v>0</v>
      </c>
      <c r="BC63" s="340">
        <f t="shared" si="64"/>
        <v>0</v>
      </c>
      <c r="BD63" s="340">
        <f t="shared" ref="BD63:BD68" si="70">L57</f>
        <v>20</v>
      </c>
      <c r="BE63" s="340">
        <f t="shared" si="66"/>
        <v>0</v>
      </c>
      <c r="BF63" s="340">
        <f t="shared" si="67"/>
        <v>0</v>
      </c>
      <c r="BG63" s="340">
        <f t="shared" si="68"/>
        <v>0</v>
      </c>
      <c r="BH63" s="339" t="str">
        <f t="shared" si="34"/>
        <v/>
      </c>
      <c r="BI63" s="340" t="str">
        <f t="shared" si="35"/>
        <v/>
      </c>
      <c r="BJ63" s="340" t="str">
        <f t="shared" si="36"/>
        <v/>
      </c>
      <c r="BK63" s="340" t="str">
        <f t="shared" si="37"/>
        <v/>
      </c>
      <c r="BL63" s="340" t="str">
        <f t="shared" si="38"/>
        <v/>
      </c>
      <c r="BM63" s="340" t="str">
        <f t="shared" si="39"/>
        <v/>
      </c>
      <c r="BN63" s="340" t="str">
        <f t="shared" si="40"/>
        <v/>
      </c>
      <c r="BO63" s="340" t="str">
        <f t="shared" si="41"/>
        <v/>
      </c>
      <c r="BP63" s="340" t="str">
        <f t="shared" si="42"/>
        <v/>
      </c>
      <c r="BQ63" s="340" t="str">
        <f t="shared" si="43"/>
        <v/>
      </c>
      <c r="BR63" s="340" t="str">
        <f t="shared" si="44"/>
        <v/>
      </c>
      <c r="BS63" s="340" t="str">
        <f t="shared" si="45"/>
        <v/>
      </c>
      <c r="BT63" s="341" t="str">
        <f t="shared" si="46"/>
        <v/>
      </c>
      <c r="BU63" s="324"/>
    </row>
    <row r="64" spans="1:73" s="342" customFormat="1">
      <c r="A64" s="324"/>
      <c r="B64" s="324"/>
      <c r="C64" s="570" t="s">
        <v>153</v>
      </c>
      <c r="D64" s="572">
        <v>10</v>
      </c>
      <c r="E64" s="572">
        <v>7.8310000000000004</v>
      </c>
      <c r="F64" s="327">
        <f t="shared" si="48"/>
        <v>2.1689999999999996</v>
      </c>
      <c r="G64" s="570" t="s">
        <v>152</v>
      </c>
      <c r="H64" s="572">
        <v>9.9</v>
      </c>
      <c r="I64" s="572">
        <v>7.8090000000000002</v>
      </c>
      <c r="J64" s="327">
        <f t="shared" si="49"/>
        <v>2.0910000000000002</v>
      </c>
      <c r="K64" s="343">
        <f t="shared" si="50"/>
        <v>2.25</v>
      </c>
      <c r="L64" s="570">
        <v>28</v>
      </c>
      <c r="M64" s="570">
        <v>825</v>
      </c>
      <c r="N64" s="345">
        <f t="shared" si="51"/>
        <v>19</v>
      </c>
      <c r="O64" s="345">
        <v>0</v>
      </c>
      <c r="P64" s="346">
        <f t="shared" si="52"/>
        <v>19</v>
      </c>
      <c r="Q64" s="332" t="str">
        <f t="shared" si="5"/>
        <v/>
      </c>
      <c r="R64" s="332" t="str">
        <f t="shared" si="6"/>
        <v/>
      </c>
      <c r="S64" s="333" t="str">
        <f t="shared" si="7"/>
        <v/>
      </c>
      <c r="T64" s="333" t="str">
        <f t="shared" si="8"/>
        <v/>
      </c>
      <c r="U64" s="333" t="str">
        <f t="shared" si="9"/>
        <v/>
      </c>
      <c r="V64" s="333" t="str">
        <f t="shared" si="10"/>
        <v/>
      </c>
      <c r="W64" s="333" t="str">
        <f t="shared" si="11"/>
        <v/>
      </c>
      <c r="X64" s="333" t="str">
        <f t="shared" si="12"/>
        <v/>
      </c>
      <c r="Y64" s="333" t="str">
        <f t="shared" si="13"/>
        <v/>
      </c>
      <c r="Z64" s="333" t="str">
        <f t="shared" si="14"/>
        <v/>
      </c>
      <c r="AA64" s="333" t="str">
        <f t="shared" si="15"/>
        <v/>
      </c>
      <c r="AB64" s="333" t="str">
        <f t="shared" si="16"/>
        <v/>
      </c>
      <c r="AC64" s="334" t="str">
        <f t="shared" si="69"/>
        <v/>
      </c>
      <c r="AD64" s="335"/>
      <c r="AE64" s="336">
        <f t="shared" si="53"/>
        <v>14.9601375</v>
      </c>
      <c r="AF64" s="337">
        <f t="shared" si="54"/>
        <v>64.259999999999991</v>
      </c>
      <c r="AG64" s="338">
        <f t="shared" si="55"/>
        <v>29.295000000000002</v>
      </c>
      <c r="AH64" s="339">
        <v>0</v>
      </c>
      <c r="AI64" s="340">
        <v>0</v>
      </c>
      <c r="AJ64" s="340">
        <v>0</v>
      </c>
      <c r="AK64" s="340">
        <v>0</v>
      </c>
      <c r="AL64" s="340">
        <v>0</v>
      </c>
      <c r="AM64" s="340">
        <v>0</v>
      </c>
      <c r="AN64" s="340">
        <v>0</v>
      </c>
      <c r="AO64" s="340">
        <v>0</v>
      </c>
      <c r="AP64" s="340">
        <v>0</v>
      </c>
      <c r="AQ64" s="340">
        <v>0</v>
      </c>
      <c r="AR64" s="340">
        <v>0</v>
      </c>
      <c r="AS64" s="340">
        <v>0</v>
      </c>
      <c r="AT64" s="341">
        <v>0</v>
      </c>
      <c r="AU64" s="339">
        <f t="shared" si="56"/>
        <v>0</v>
      </c>
      <c r="AV64" s="340">
        <f t="shared" si="57"/>
        <v>0</v>
      </c>
      <c r="AW64" s="340">
        <f t="shared" si="58"/>
        <v>0</v>
      </c>
      <c r="AX64" s="340">
        <f t="shared" si="59"/>
        <v>0</v>
      </c>
      <c r="AY64" s="340">
        <f t="shared" si="60"/>
        <v>0</v>
      </c>
      <c r="AZ64" s="340">
        <f t="shared" si="61"/>
        <v>0</v>
      </c>
      <c r="BA64" s="340">
        <f t="shared" si="62"/>
        <v>0</v>
      </c>
      <c r="BB64" s="340">
        <f t="shared" si="63"/>
        <v>0</v>
      </c>
      <c r="BC64" s="340">
        <f t="shared" si="64"/>
        <v>0</v>
      </c>
      <c r="BD64" s="340">
        <f t="shared" si="70"/>
        <v>19</v>
      </c>
      <c r="BE64" s="340">
        <f t="shared" si="66"/>
        <v>0</v>
      </c>
      <c r="BF64" s="340">
        <f t="shared" si="67"/>
        <v>0</v>
      </c>
      <c r="BG64" s="340">
        <f t="shared" si="68"/>
        <v>0</v>
      </c>
      <c r="BH64" s="339" t="str">
        <f t="shared" si="34"/>
        <v/>
      </c>
      <c r="BI64" s="340" t="str">
        <f t="shared" si="35"/>
        <v/>
      </c>
      <c r="BJ64" s="340" t="str">
        <f t="shared" si="36"/>
        <v/>
      </c>
      <c r="BK64" s="340" t="str">
        <f t="shared" si="37"/>
        <v/>
      </c>
      <c r="BL64" s="340" t="str">
        <f t="shared" si="38"/>
        <v/>
      </c>
      <c r="BM64" s="340" t="str">
        <f t="shared" si="39"/>
        <v/>
      </c>
      <c r="BN64" s="340" t="str">
        <f t="shared" si="40"/>
        <v/>
      </c>
      <c r="BO64" s="340" t="str">
        <f t="shared" si="41"/>
        <v/>
      </c>
      <c r="BP64" s="340" t="str">
        <f t="shared" si="42"/>
        <v/>
      </c>
      <c r="BQ64" s="340" t="str">
        <f t="shared" si="43"/>
        <v/>
      </c>
      <c r="BR64" s="340" t="str">
        <f t="shared" si="44"/>
        <v/>
      </c>
      <c r="BS64" s="340" t="str">
        <f t="shared" si="45"/>
        <v/>
      </c>
      <c r="BT64" s="341" t="str">
        <f t="shared" si="46"/>
        <v/>
      </c>
      <c r="BU64" s="324"/>
    </row>
    <row r="65" spans="1:73" s="342" customFormat="1">
      <c r="A65" s="324"/>
      <c r="B65" s="324"/>
      <c r="C65" s="570" t="s">
        <v>152</v>
      </c>
      <c r="D65" s="572">
        <v>9.9</v>
      </c>
      <c r="E65" s="572">
        <v>7.8090000000000002</v>
      </c>
      <c r="F65" s="327">
        <f t="shared" si="48"/>
        <v>2.0910000000000002</v>
      </c>
      <c r="G65" s="570" t="s">
        <v>151</v>
      </c>
      <c r="H65" s="572">
        <v>9.6</v>
      </c>
      <c r="I65" s="572">
        <v>7.7409999999999997</v>
      </c>
      <c r="J65" s="327">
        <f t="shared" si="49"/>
        <v>1.859</v>
      </c>
      <c r="K65" s="343">
        <f t="shared" si="50"/>
        <v>2</v>
      </c>
      <c r="L65" s="570">
        <v>19</v>
      </c>
      <c r="M65" s="570">
        <v>825</v>
      </c>
      <c r="N65" s="345">
        <f t="shared" si="51"/>
        <v>10</v>
      </c>
      <c r="O65" s="345">
        <v>0</v>
      </c>
      <c r="P65" s="346">
        <f t="shared" si="52"/>
        <v>10</v>
      </c>
      <c r="Q65" s="332" t="str">
        <f t="shared" si="5"/>
        <v/>
      </c>
      <c r="R65" s="332" t="str">
        <f t="shared" si="6"/>
        <v/>
      </c>
      <c r="S65" s="333" t="str">
        <f t="shared" si="7"/>
        <v/>
      </c>
      <c r="T65" s="333" t="str">
        <f t="shared" si="8"/>
        <v/>
      </c>
      <c r="U65" s="333" t="str">
        <f t="shared" si="9"/>
        <v/>
      </c>
      <c r="V65" s="333" t="str">
        <f t="shared" si="10"/>
        <v/>
      </c>
      <c r="W65" s="333" t="str">
        <f t="shared" si="11"/>
        <v/>
      </c>
      <c r="X65" s="333" t="str">
        <f t="shared" si="12"/>
        <v/>
      </c>
      <c r="Y65" s="333" t="str">
        <f t="shared" si="13"/>
        <v/>
      </c>
      <c r="Z65" s="333" t="str">
        <f t="shared" si="14"/>
        <v/>
      </c>
      <c r="AA65" s="333" t="str">
        <f t="shared" si="15"/>
        <v/>
      </c>
      <c r="AB65" s="333" t="str">
        <f t="shared" si="16"/>
        <v/>
      </c>
      <c r="AC65" s="334" t="str">
        <f t="shared" si="69"/>
        <v/>
      </c>
      <c r="AD65" s="335"/>
      <c r="AE65" s="336">
        <f t="shared" si="53"/>
        <v>10.151521875</v>
      </c>
      <c r="AF65" s="337">
        <f t="shared" si="54"/>
        <v>37.548749999999998</v>
      </c>
      <c r="AG65" s="338">
        <f t="shared" si="55"/>
        <v>19.878750000000004</v>
      </c>
      <c r="AH65" s="339">
        <v>0</v>
      </c>
      <c r="AI65" s="340">
        <v>0</v>
      </c>
      <c r="AJ65" s="340">
        <v>0</v>
      </c>
      <c r="AK65" s="340">
        <v>0</v>
      </c>
      <c r="AL65" s="340">
        <v>0</v>
      </c>
      <c r="AM65" s="340">
        <v>0</v>
      </c>
      <c r="AN65" s="340">
        <v>0</v>
      </c>
      <c r="AO65" s="340">
        <v>0</v>
      </c>
      <c r="AP65" s="340">
        <v>0</v>
      </c>
      <c r="AQ65" s="340">
        <v>0</v>
      </c>
      <c r="AR65" s="340">
        <v>0</v>
      </c>
      <c r="AS65" s="340">
        <v>0</v>
      </c>
      <c r="AT65" s="341">
        <v>0</v>
      </c>
      <c r="AU65" s="339">
        <f t="shared" si="56"/>
        <v>0</v>
      </c>
      <c r="AV65" s="340">
        <f t="shared" si="57"/>
        <v>0</v>
      </c>
      <c r="AW65" s="340">
        <f t="shared" si="58"/>
        <v>0</v>
      </c>
      <c r="AX65" s="340">
        <f t="shared" si="59"/>
        <v>0</v>
      </c>
      <c r="AY65" s="340">
        <f t="shared" si="60"/>
        <v>0</v>
      </c>
      <c r="AZ65" s="340">
        <f t="shared" si="61"/>
        <v>0</v>
      </c>
      <c r="BA65" s="340">
        <f t="shared" si="62"/>
        <v>0</v>
      </c>
      <c r="BB65" s="340">
        <f t="shared" si="63"/>
        <v>0</v>
      </c>
      <c r="BC65" s="340">
        <f t="shared" si="64"/>
        <v>0</v>
      </c>
      <c r="BD65" s="340">
        <f t="shared" si="70"/>
        <v>10</v>
      </c>
      <c r="BE65" s="340">
        <f t="shared" si="66"/>
        <v>0</v>
      </c>
      <c r="BF65" s="340">
        <f t="shared" si="67"/>
        <v>0</v>
      </c>
      <c r="BG65" s="340">
        <f t="shared" si="68"/>
        <v>0</v>
      </c>
      <c r="BH65" s="339" t="str">
        <f t="shared" si="34"/>
        <v/>
      </c>
      <c r="BI65" s="340" t="str">
        <f t="shared" si="35"/>
        <v/>
      </c>
      <c r="BJ65" s="340" t="str">
        <f t="shared" si="36"/>
        <v/>
      </c>
      <c r="BK65" s="340" t="str">
        <f t="shared" si="37"/>
        <v/>
      </c>
      <c r="BL65" s="340" t="str">
        <f t="shared" si="38"/>
        <v/>
      </c>
      <c r="BM65" s="340" t="str">
        <f t="shared" si="39"/>
        <v/>
      </c>
      <c r="BN65" s="340" t="str">
        <f t="shared" si="40"/>
        <v/>
      </c>
      <c r="BO65" s="340" t="str">
        <f t="shared" si="41"/>
        <v/>
      </c>
      <c r="BP65" s="340" t="str">
        <f t="shared" si="42"/>
        <v/>
      </c>
      <c r="BQ65" s="340" t="str">
        <f t="shared" si="43"/>
        <v/>
      </c>
      <c r="BR65" s="340" t="str">
        <f t="shared" si="44"/>
        <v/>
      </c>
      <c r="BS65" s="340" t="str">
        <f t="shared" si="45"/>
        <v/>
      </c>
      <c r="BT65" s="341" t="str">
        <f t="shared" si="46"/>
        <v/>
      </c>
      <c r="BU65" s="324"/>
    </row>
    <row r="66" spans="1:73" s="342" customFormat="1">
      <c r="A66" s="324"/>
      <c r="B66" s="324"/>
      <c r="C66" s="570" t="s">
        <v>151</v>
      </c>
      <c r="D66" s="572">
        <v>9.6</v>
      </c>
      <c r="E66" s="572">
        <v>7.7409999999999997</v>
      </c>
      <c r="F66" s="327">
        <f t="shared" si="48"/>
        <v>1.859</v>
      </c>
      <c r="G66" s="570" t="s">
        <v>539</v>
      </c>
      <c r="H66" s="572">
        <v>9.5</v>
      </c>
      <c r="I66" s="572">
        <v>7.6929999999999996</v>
      </c>
      <c r="J66" s="327">
        <f t="shared" si="49"/>
        <v>1.8070000000000004</v>
      </c>
      <c r="K66" s="343">
        <f t="shared" si="50"/>
        <v>2</v>
      </c>
      <c r="L66" s="570">
        <v>19</v>
      </c>
      <c r="M66" s="570">
        <v>825</v>
      </c>
      <c r="N66" s="345">
        <f t="shared" si="51"/>
        <v>9</v>
      </c>
      <c r="O66" s="345">
        <v>0</v>
      </c>
      <c r="P66" s="346">
        <f t="shared" si="52"/>
        <v>9</v>
      </c>
      <c r="Q66" s="332" t="str">
        <f t="shared" si="5"/>
        <v/>
      </c>
      <c r="R66" s="332" t="str">
        <f t="shared" si="6"/>
        <v/>
      </c>
      <c r="S66" s="333" t="str">
        <f t="shared" si="7"/>
        <v/>
      </c>
      <c r="T66" s="333" t="str">
        <f t="shared" si="8"/>
        <v/>
      </c>
      <c r="U66" s="333" t="str">
        <f t="shared" si="9"/>
        <v/>
      </c>
      <c r="V66" s="333" t="str">
        <f t="shared" si="10"/>
        <v/>
      </c>
      <c r="W66" s="333" t="str">
        <f t="shared" si="11"/>
        <v/>
      </c>
      <c r="X66" s="333" t="str">
        <f t="shared" si="12"/>
        <v/>
      </c>
      <c r="Y66" s="333" t="str">
        <f t="shared" si="13"/>
        <v/>
      </c>
      <c r="Z66" s="333" t="str">
        <f t="shared" si="14"/>
        <v/>
      </c>
      <c r="AA66" s="333" t="str">
        <f t="shared" si="15"/>
        <v/>
      </c>
      <c r="AB66" s="333" t="str">
        <f t="shared" si="16"/>
        <v/>
      </c>
      <c r="AC66" s="334" t="str">
        <f t="shared" si="69"/>
        <v/>
      </c>
      <c r="AD66" s="335"/>
      <c r="AE66" s="336">
        <f t="shared" si="53"/>
        <v>10.151521875</v>
      </c>
      <c r="AF66" s="337">
        <f t="shared" si="54"/>
        <v>37.548749999999998</v>
      </c>
      <c r="AG66" s="338">
        <f t="shared" si="55"/>
        <v>19.878750000000004</v>
      </c>
      <c r="AH66" s="339">
        <v>0</v>
      </c>
      <c r="AI66" s="340">
        <v>0</v>
      </c>
      <c r="AJ66" s="340">
        <v>0</v>
      </c>
      <c r="AK66" s="340">
        <v>0</v>
      </c>
      <c r="AL66" s="340">
        <v>0</v>
      </c>
      <c r="AM66" s="340">
        <v>0</v>
      </c>
      <c r="AN66" s="340">
        <v>0</v>
      </c>
      <c r="AO66" s="340">
        <v>0</v>
      </c>
      <c r="AP66" s="340">
        <v>0</v>
      </c>
      <c r="AQ66" s="340">
        <v>0</v>
      </c>
      <c r="AR66" s="340">
        <v>0</v>
      </c>
      <c r="AS66" s="340">
        <v>0</v>
      </c>
      <c r="AT66" s="341">
        <v>0</v>
      </c>
      <c r="AU66" s="339">
        <f t="shared" si="56"/>
        <v>0</v>
      </c>
      <c r="AV66" s="340">
        <f t="shared" si="57"/>
        <v>0</v>
      </c>
      <c r="AW66" s="340">
        <f t="shared" si="58"/>
        <v>0</v>
      </c>
      <c r="AX66" s="340">
        <f t="shared" si="59"/>
        <v>0</v>
      </c>
      <c r="AY66" s="340">
        <f t="shared" si="60"/>
        <v>0</v>
      </c>
      <c r="AZ66" s="340">
        <f t="shared" si="61"/>
        <v>0</v>
      </c>
      <c r="BA66" s="340">
        <f t="shared" si="62"/>
        <v>0</v>
      </c>
      <c r="BB66" s="340">
        <f t="shared" si="63"/>
        <v>0</v>
      </c>
      <c r="BC66" s="340">
        <f t="shared" si="64"/>
        <v>0</v>
      </c>
      <c r="BD66" s="340">
        <f t="shared" si="70"/>
        <v>9</v>
      </c>
      <c r="BE66" s="340">
        <f t="shared" si="66"/>
        <v>0</v>
      </c>
      <c r="BF66" s="340">
        <f t="shared" si="67"/>
        <v>0</v>
      </c>
      <c r="BG66" s="340">
        <f t="shared" si="68"/>
        <v>0</v>
      </c>
      <c r="BH66" s="339" t="str">
        <f t="shared" si="34"/>
        <v/>
      </c>
      <c r="BI66" s="340" t="str">
        <f t="shared" si="35"/>
        <v/>
      </c>
      <c r="BJ66" s="340" t="str">
        <f t="shared" si="36"/>
        <v/>
      </c>
      <c r="BK66" s="340" t="str">
        <f t="shared" si="37"/>
        <v/>
      </c>
      <c r="BL66" s="340" t="str">
        <f t="shared" si="38"/>
        <v/>
      </c>
      <c r="BM66" s="340" t="str">
        <f t="shared" si="39"/>
        <v/>
      </c>
      <c r="BN66" s="340" t="str">
        <f t="shared" si="40"/>
        <v/>
      </c>
      <c r="BO66" s="340" t="str">
        <f t="shared" si="41"/>
        <v/>
      </c>
      <c r="BP66" s="340" t="str">
        <f t="shared" si="42"/>
        <v/>
      </c>
      <c r="BQ66" s="340" t="str">
        <f t="shared" si="43"/>
        <v/>
      </c>
      <c r="BR66" s="340" t="str">
        <f t="shared" si="44"/>
        <v/>
      </c>
      <c r="BS66" s="340" t="str">
        <f t="shared" si="45"/>
        <v/>
      </c>
      <c r="BT66" s="341" t="str">
        <f t="shared" si="46"/>
        <v/>
      </c>
      <c r="BU66" s="324"/>
    </row>
    <row r="67" spans="1:73" s="342" customFormat="1">
      <c r="A67" s="324"/>
      <c r="B67" s="324"/>
      <c r="C67" s="570" t="s">
        <v>540</v>
      </c>
      <c r="D67" s="572">
        <v>9.9</v>
      </c>
      <c r="E67" s="572">
        <v>8.4030000000000005</v>
      </c>
      <c r="F67" s="327">
        <f t="shared" si="48"/>
        <v>1.4969999999999999</v>
      </c>
      <c r="G67" s="570" t="s">
        <v>152</v>
      </c>
      <c r="H67" s="572">
        <v>9.9</v>
      </c>
      <c r="I67" s="572">
        <v>7.8090000000000002</v>
      </c>
      <c r="J67" s="327">
        <f t="shared" si="49"/>
        <v>2.0910000000000002</v>
      </c>
      <c r="K67" s="343">
        <f t="shared" si="50"/>
        <v>2</v>
      </c>
      <c r="L67" s="570">
        <v>17</v>
      </c>
      <c r="M67" s="570">
        <v>300</v>
      </c>
      <c r="N67" s="345">
        <f t="shared" si="51"/>
        <v>24</v>
      </c>
      <c r="O67" s="345">
        <v>0</v>
      </c>
      <c r="P67" s="346">
        <f t="shared" si="52"/>
        <v>24</v>
      </c>
      <c r="Q67" s="332" t="str">
        <f t="shared" si="5"/>
        <v/>
      </c>
      <c r="R67" s="332" t="str">
        <f t="shared" si="6"/>
        <v/>
      </c>
      <c r="S67" s="333">
        <f t="shared" si="7"/>
        <v>408</v>
      </c>
      <c r="T67" s="333" t="str">
        <f t="shared" si="8"/>
        <v/>
      </c>
      <c r="U67" s="333" t="str">
        <f t="shared" si="9"/>
        <v/>
      </c>
      <c r="V67" s="333" t="str">
        <f t="shared" si="10"/>
        <v/>
      </c>
      <c r="W67" s="333" t="str">
        <f t="shared" si="11"/>
        <v/>
      </c>
      <c r="X67" s="333" t="str">
        <f t="shared" si="12"/>
        <v/>
      </c>
      <c r="Y67" s="333" t="str">
        <f t="shared" si="13"/>
        <v/>
      </c>
      <c r="Z67" s="333" t="str">
        <f t="shared" si="14"/>
        <v/>
      </c>
      <c r="AA67" s="333" t="str">
        <f t="shared" si="15"/>
        <v/>
      </c>
      <c r="AB67" s="333" t="str">
        <f t="shared" si="16"/>
        <v/>
      </c>
      <c r="AC67" s="334" t="str">
        <f t="shared" si="69"/>
        <v/>
      </c>
      <c r="AD67" s="335"/>
      <c r="AE67" s="336">
        <f t="shared" si="53"/>
        <v>1.2010500000000002</v>
      </c>
      <c r="AF67" s="337">
        <f t="shared" si="54"/>
        <v>19.762500000000003</v>
      </c>
      <c r="AG67" s="338">
        <f t="shared" si="55"/>
        <v>17.786250000000003</v>
      </c>
      <c r="AH67" s="339">
        <v>0</v>
      </c>
      <c r="AI67" s="340">
        <v>0</v>
      </c>
      <c r="AJ67" s="340">
        <v>0</v>
      </c>
      <c r="AK67" s="340">
        <v>0</v>
      </c>
      <c r="AL67" s="340">
        <v>0</v>
      </c>
      <c r="AM67" s="340">
        <v>0</v>
      </c>
      <c r="AN67" s="340">
        <v>0</v>
      </c>
      <c r="AO67" s="340">
        <v>0</v>
      </c>
      <c r="AP67" s="340">
        <v>0</v>
      </c>
      <c r="AQ67" s="340">
        <v>0</v>
      </c>
      <c r="AR67" s="340">
        <v>0</v>
      </c>
      <c r="AS67" s="340">
        <v>0</v>
      </c>
      <c r="AT67" s="341">
        <v>0</v>
      </c>
      <c r="AU67" s="339">
        <f t="shared" si="56"/>
        <v>0</v>
      </c>
      <c r="AV67" s="340">
        <f t="shared" si="57"/>
        <v>0</v>
      </c>
      <c r="AW67" s="340">
        <f t="shared" si="58"/>
        <v>0</v>
      </c>
      <c r="AX67" s="340">
        <f t="shared" si="59"/>
        <v>0</v>
      </c>
      <c r="AY67" s="340">
        <f t="shared" si="60"/>
        <v>0</v>
      </c>
      <c r="AZ67" s="340">
        <f t="shared" si="61"/>
        <v>0</v>
      </c>
      <c r="BA67" s="340">
        <f t="shared" si="62"/>
        <v>0</v>
      </c>
      <c r="BB67" s="340">
        <f t="shared" si="63"/>
        <v>0</v>
      </c>
      <c r="BC67" s="340">
        <f t="shared" si="64"/>
        <v>0</v>
      </c>
      <c r="BD67" s="340">
        <f t="shared" si="70"/>
        <v>24</v>
      </c>
      <c r="BE67" s="340">
        <f t="shared" si="66"/>
        <v>0</v>
      </c>
      <c r="BF67" s="340">
        <f t="shared" si="67"/>
        <v>0</v>
      </c>
      <c r="BG67" s="340">
        <f t="shared" si="68"/>
        <v>0</v>
      </c>
      <c r="BH67" s="339" t="str">
        <f t="shared" si="34"/>
        <v/>
      </c>
      <c r="BI67" s="340" t="str">
        <f t="shared" si="35"/>
        <v/>
      </c>
      <c r="BJ67" s="340">
        <f t="shared" si="36"/>
        <v>17</v>
      </c>
      <c r="BK67" s="340" t="str">
        <f t="shared" si="37"/>
        <v/>
      </c>
      <c r="BL67" s="340" t="str">
        <f t="shared" si="38"/>
        <v/>
      </c>
      <c r="BM67" s="340" t="str">
        <f t="shared" si="39"/>
        <v/>
      </c>
      <c r="BN67" s="340" t="str">
        <f t="shared" si="40"/>
        <v/>
      </c>
      <c r="BO67" s="340" t="str">
        <f t="shared" si="41"/>
        <v/>
      </c>
      <c r="BP67" s="340" t="str">
        <f t="shared" si="42"/>
        <v/>
      </c>
      <c r="BQ67" s="340" t="str">
        <f t="shared" si="43"/>
        <v/>
      </c>
      <c r="BR67" s="340" t="str">
        <f t="shared" si="44"/>
        <v/>
      </c>
      <c r="BS67" s="340" t="str">
        <f t="shared" si="45"/>
        <v/>
      </c>
      <c r="BT67" s="341" t="str">
        <f t="shared" si="46"/>
        <v/>
      </c>
      <c r="BU67" s="324"/>
    </row>
    <row r="68" spans="1:73" s="342" customFormat="1">
      <c r="A68" s="324"/>
      <c r="B68" s="324"/>
      <c r="C68" s="570"/>
      <c r="D68" s="572"/>
      <c r="E68" s="572"/>
      <c r="F68" s="327">
        <f t="shared" si="48"/>
        <v>0</v>
      </c>
      <c r="G68" s="570"/>
      <c r="H68" s="572"/>
      <c r="I68" s="572"/>
      <c r="J68" s="327">
        <f t="shared" si="49"/>
        <v>0</v>
      </c>
      <c r="K68" s="343">
        <f t="shared" si="50"/>
        <v>0</v>
      </c>
      <c r="L68" s="570"/>
      <c r="M68" s="570"/>
      <c r="N68" s="345">
        <f t="shared" si="51"/>
        <v>0</v>
      </c>
      <c r="O68" s="345">
        <v>0</v>
      </c>
      <c r="P68" s="346">
        <f t="shared" si="52"/>
        <v>0</v>
      </c>
      <c r="Q68" s="332" t="str">
        <f t="shared" si="5"/>
        <v/>
      </c>
      <c r="R68" s="332" t="str">
        <f t="shared" si="6"/>
        <v/>
      </c>
      <c r="S68" s="333" t="str">
        <f t="shared" si="7"/>
        <v/>
      </c>
      <c r="T68" s="333" t="str">
        <f t="shared" si="8"/>
        <v/>
      </c>
      <c r="U68" s="333" t="str">
        <f t="shared" si="9"/>
        <v/>
      </c>
      <c r="V68" s="333" t="str">
        <f t="shared" si="10"/>
        <v/>
      </c>
      <c r="W68" s="333" t="str">
        <f t="shared" si="11"/>
        <v/>
      </c>
      <c r="X68" s="333" t="str">
        <f t="shared" si="12"/>
        <v/>
      </c>
      <c r="Y68" s="333" t="str">
        <f t="shared" si="13"/>
        <v/>
      </c>
      <c r="Z68" s="333" t="str">
        <f t="shared" si="14"/>
        <v/>
      </c>
      <c r="AA68" s="333" t="str">
        <f t="shared" si="15"/>
        <v/>
      </c>
      <c r="AB68" s="333" t="str">
        <f t="shared" si="16"/>
        <v/>
      </c>
      <c r="AC68" s="334" t="str">
        <f t="shared" si="69"/>
        <v/>
      </c>
      <c r="AD68" s="335"/>
      <c r="AE68" s="336">
        <f t="shared" si="53"/>
        <v>0</v>
      </c>
      <c r="AF68" s="337">
        <f t="shared" si="54"/>
        <v>0</v>
      </c>
      <c r="AG68" s="338">
        <f t="shared" si="55"/>
        <v>0</v>
      </c>
      <c r="AH68" s="339">
        <v>0</v>
      </c>
      <c r="AI68" s="340">
        <v>0</v>
      </c>
      <c r="AJ68" s="340">
        <v>0</v>
      </c>
      <c r="AK68" s="340">
        <v>0</v>
      </c>
      <c r="AL68" s="340">
        <v>0</v>
      </c>
      <c r="AM68" s="340">
        <v>0</v>
      </c>
      <c r="AN68" s="340">
        <v>0</v>
      </c>
      <c r="AO68" s="340">
        <v>0</v>
      </c>
      <c r="AP68" s="340">
        <v>0</v>
      </c>
      <c r="AQ68" s="340">
        <v>0</v>
      </c>
      <c r="AR68" s="340">
        <v>0</v>
      </c>
      <c r="AS68" s="340">
        <v>0</v>
      </c>
      <c r="AT68" s="341">
        <v>0</v>
      </c>
      <c r="AU68" s="339">
        <f t="shared" si="56"/>
        <v>0</v>
      </c>
      <c r="AV68" s="340">
        <f t="shared" si="57"/>
        <v>0</v>
      </c>
      <c r="AW68" s="340">
        <f t="shared" si="58"/>
        <v>0</v>
      </c>
      <c r="AX68" s="340">
        <f t="shared" si="59"/>
        <v>0</v>
      </c>
      <c r="AY68" s="340">
        <f t="shared" si="60"/>
        <v>0</v>
      </c>
      <c r="AZ68" s="340">
        <f t="shared" si="61"/>
        <v>0</v>
      </c>
      <c r="BA68" s="340">
        <f t="shared" si="62"/>
        <v>0</v>
      </c>
      <c r="BB68" s="340">
        <f t="shared" si="63"/>
        <v>0</v>
      </c>
      <c r="BC68" s="340">
        <f t="shared" si="64"/>
        <v>0</v>
      </c>
      <c r="BD68" s="340">
        <f t="shared" si="70"/>
        <v>0</v>
      </c>
      <c r="BE68" s="340">
        <f t="shared" si="66"/>
        <v>0</v>
      </c>
      <c r="BF68" s="340">
        <f t="shared" si="67"/>
        <v>0</v>
      </c>
      <c r="BG68" s="340">
        <f t="shared" si="68"/>
        <v>0</v>
      </c>
      <c r="BH68" s="339" t="str">
        <f t="shared" si="34"/>
        <v/>
      </c>
      <c r="BI68" s="340" t="str">
        <f t="shared" si="35"/>
        <v/>
      </c>
      <c r="BJ68" s="340" t="str">
        <f t="shared" si="36"/>
        <v/>
      </c>
      <c r="BK68" s="340" t="str">
        <f t="shared" si="37"/>
        <v/>
      </c>
      <c r="BL68" s="340" t="str">
        <f t="shared" si="38"/>
        <v/>
      </c>
      <c r="BM68" s="340" t="str">
        <f t="shared" si="39"/>
        <v/>
      </c>
      <c r="BN68" s="340" t="str">
        <f t="shared" si="40"/>
        <v/>
      </c>
      <c r="BO68" s="340" t="str">
        <f t="shared" si="41"/>
        <v/>
      </c>
      <c r="BP68" s="340" t="str">
        <f t="shared" si="42"/>
        <v/>
      </c>
      <c r="BQ68" s="340" t="str">
        <f t="shared" si="43"/>
        <v/>
      </c>
      <c r="BR68" s="340" t="str">
        <f t="shared" si="44"/>
        <v/>
      </c>
      <c r="BS68" s="340" t="str">
        <f t="shared" si="45"/>
        <v/>
      </c>
      <c r="BT68" s="341" t="str">
        <f t="shared" si="46"/>
        <v/>
      </c>
      <c r="BU68" s="324"/>
    </row>
    <row r="69" spans="1:73" s="342" customFormat="1">
      <c r="A69" s="324"/>
      <c r="B69" s="324"/>
      <c r="C69" s="570" t="s">
        <v>538</v>
      </c>
      <c r="D69" s="572">
        <v>12.2</v>
      </c>
      <c r="E69" s="572">
        <v>9.5</v>
      </c>
      <c r="F69" s="327">
        <f t="shared" si="0"/>
        <v>2.6999999999999993</v>
      </c>
      <c r="G69" s="570" t="s">
        <v>537</v>
      </c>
      <c r="H69" s="572">
        <v>12</v>
      </c>
      <c r="I69" s="572">
        <v>9.4149999999999991</v>
      </c>
      <c r="J69" s="327">
        <f t="shared" si="1"/>
        <v>2.5850000000000009</v>
      </c>
      <c r="K69" s="343">
        <f t="shared" si="2"/>
        <v>2.75</v>
      </c>
      <c r="L69" s="570">
        <v>21</v>
      </c>
      <c r="M69" s="570">
        <v>375</v>
      </c>
      <c r="N69" s="345">
        <f t="shared" si="3"/>
        <v>403</v>
      </c>
      <c r="O69" s="345">
        <v>109</v>
      </c>
      <c r="P69" s="346">
        <f t="shared" si="4"/>
        <v>294</v>
      </c>
      <c r="Q69" s="332" t="str">
        <f t="shared" si="5"/>
        <v/>
      </c>
      <c r="R69" s="332" t="str">
        <f t="shared" si="6"/>
        <v/>
      </c>
      <c r="S69" s="333" t="str">
        <f t="shared" si="7"/>
        <v/>
      </c>
      <c r="T69" s="333">
        <f t="shared" si="8"/>
        <v>6174</v>
      </c>
      <c r="U69" s="333" t="str">
        <f t="shared" si="9"/>
        <v/>
      </c>
      <c r="V69" s="333" t="str">
        <f t="shared" si="10"/>
        <v/>
      </c>
      <c r="W69" s="333" t="str">
        <f t="shared" si="11"/>
        <v/>
      </c>
      <c r="X69" s="333" t="str">
        <f t="shared" si="12"/>
        <v/>
      </c>
      <c r="Y69" s="333" t="str">
        <f t="shared" si="13"/>
        <v/>
      </c>
      <c r="Z69" s="333" t="str">
        <f t="shared" si="14"/>
        <v/>
      </c>
      <c r="AA69" s="333" t="str">
        <f t="shared" si="15"/>
        <v/>
      </c>
      <c r="AB69" s="333" t="str">
        <f t="shared" si="16"/>
        <v/>
      </c>
      <c r="AC69" s="334" t="str">
        <f t="shared" ref="AC69:AC86" si="71">IF($M69=$AC$7,$L69*$P69,"")</f>
        <v/>
      </c>
      <c r="AD69" s="335"/>
      <c r="AE69" s="336">
        <f t="shared" si="18"/>
        <v>2.3182031250000001</v>
      </c>
      <c r="AF69" s="337">
        <f t="shared" si="19"/>
        <v>39.847499999999997</v>
      </c>
      <c r="AG69" s="338">
        <f t="shared" si="20"/>
        <v>21.971250000000001</v>
      </c>
      <c r="AH69" s="339">
        <v>269</v>
      </c>
      <c r="AI69" s="340">
        <v>341</v>
      </c>
      <c r="AJ69" s="340">
        <v>371</v>
      </c>
      <c r="AK69" s="340">
        <v>403</v>
      </c>
      <c r="AL69" s="340">
        <v>401</v>
      </c>
      <c r="AM69" s="340">
        <v>404</v>
      </c>
      <c r="AN69" s="340">
        <v>403</v>
      </c>
      <c r="AO69" s="340">
        <v>421</v>
      </c>
      <c r="AP69" s="340">
        <v>465</v>
      </c>
      <c r="AQ69" s="340">
        <v>545</v>
      </c>
      <c r="AR69" s="340">
        <v>595</v>
      </c>
      <c r="AS69" s="340">
        <v>704</v>
      </c>
      <c r="AT69" s="341">
        <v>764</v>
      </c>
      <c r="AU69" s="339">
        <f t="shared" si="21"/>
        <v>0</v>
      </c>
      <c r="AV69" s="340">
        <f t="shared" si="22"/>
        <v>0</v>
      </c>
      <c r="AW69" s="340">
        <f t="shared" si="23"/>
        <v>0</v>
      </c>
      <c r="AX69" s="340">
        <f t="shared" si="24"/>
        <v>403</v>
      </c>
      <c r="AY69" s="340">
        <f t="shared" si="25"/>
        <v>0</v>
      </c>
      <c r="AZ69" s="340">
        <f t="shared" si="26"/>
        <v>0</v>
      </c>
      <c r="BA69" s="340">
        <f t="shared" si="27"/>
        <v>0</v>
      </c>
      <c r="BB69" s="340">
        <f t="shared" si="28"/>
        <v>0</v>
      </c>
      <c r="BC69" s="340">
        <f t="shared" si="29"/>
        <v>0</v>
      </c>
      <c r="BD69" s="340">
        <f t="shared" si="30"/>
        <v>0</v>
      </c>
      <c r="BE69" s="340">
        <f t="shared" si="31"/>
        <v>0</v>
      </c>
      <c r="BF69" s="340">
        <f t="shared" si="32"/>
        <v>0</v>
      </c>
      <c r="BG69" s="340">
        <f t="shared" si="33"/>
        <v>0</v>
      </c>
      <c r="BH69" s="339" t="str">
        <f t="shared" si="34"/>
        <v/>
      </c>
      <c r="BI69" s="340" t="str">
        <f t="shared" si="35"/>
        <v/>
      </c>
      <c r="BJ69" s="340" t="str">
        <f t="shared" si="36"/>
        <v/>
      </c>
      <c r="BK69" s="340">
        <f t="shared" si="37"/>
        <v>21</v>
      </c>
      <c r="BL69" s="340" t="str">
        <f t="shared" si="38"/>
        <v/>
      </c>
      <c r="BM69" s="340" t="str">
        <f t="shared" si="39"/>
        <v/>
      </c>
      <c r="BN69" s="340" t="str">
        <f t="shared" si="40"/>
        <v/>
      </c>
      <c r="BO69" s="340" t="str">
        <f t="shared" si="41"/>
        <v/>
      </c>
      <c r="BP69" s="340" t="str">
        <f t="shared" si="42"/>
        <v/>
      </c>
      <c r="BQ69" s="340" t="str">
        <f t="shared" si="43"/>
        <v/>
      </c>
      <c r="BR69" s="340" t="str">
        <f t="shared" si="44"/>
        <v/>
      </c>
      <c r="BS69" s="340" t="str">
        <f t="shared" si="45"/>
        <v/>
      </c>
      <c r="BT69" s="341" t="str">
        <f t="shared" si="46"/>
        <v/>
      </c>
      <c r="BU69" s="324"/>
    </row>
    <row r="70" spans="1:73" s="342" customFormat="1">
      <c r="A70" s="324"/>
      <c r="B70" s="324"/>
      <c r="C70" s="570" t="s">
        <v>537</v>
      </c>
      <c r="D70" s="572">
        <v>12</v>
      </c>
      <c r="E70" s="572">
        <v>9.4149999999999991</v>
      </c>
      <c r="F70" s="327">
        <f t="shared" si="0"/>
        <v>2.5850000000000009</v>
      </c>
      <c r="G70" s="570" t="s">
        <v>536</v>
      </c>
      <c r="H70" s="572">
        <v>11.65</v>
      </c>
      <c r="I70" s="572">
        <v>9.0549999999999997</v>
      </c>
      <c r="J70" s="327">
        <f t="shared" si="1"/>
        <v>2.5950000000000006</v>
      </c>
      <c r="K70" s="343">
        <f t="shared" si="2"/>
        <v>2.75</v>
      </c>
      <c r="L70" s="570">
        <v>33</v>
      </c>
      <c r="M70" s="570">
        <v>600</v>
      </c>
      <c r="N70" s="345">
        <f t="shared" si="3"/>
        <v>488</v>
      </c>
      <c r="O70" s="345">
        <v>109</v>
      </c>
      <c r="P70" s="346">
        <f t="shared" si="4"/>
        <v>379</v>
      </c>
      <c r="Q70" s="332" t="str">
        <f t="shared" si="5"/>
        <v/>
      </c>
      <c r="R70" s="332" t="str">
        <f t="shared" si="6"/>
        <v/>
      </c>
      <c r="S70" s="333" t="str">
        <f t="shared" si="7"/>
        <v/>
      </c>
      <c r="T70" s="333" t="str">
        <f t="shared" si="8"/>
        <v/>
      </c>
      <c r="U70" s="333" t="str">
        <f t="shared" si="9"/>
        <v/>
      </c>
      <c r="V70" s="333" t="str">
        <f t="shared" si="10"/>
        <v/>
      </c>
      <c r="W70" s="333">
        <f t="shared" si="11"/>
        <v>12507</v>
      </c>
      <c r="X70" s="333" t="str">
        <f t="shared" si="12"/>
        <v/>
      </c>
      <c r="Y70" s="333" t="str">
        <f t="shared" si="13"/>
        <v/>
      </c>
      <c r="Z70" s="333" t="str">
        <f t="shared" si="14"/>
        <v/>
      </c>
      <c r="AA70" s="333" t="str">
        <f t="shared" si="15"/>
        <v/>
      </c>
      <c r="AB70" s="333" t="str">
        <f t="shared" si="16"/>
        <v/>
      </c>
      <c r="AC70" s="334" t="str">
        <f t="shared" si="71"/>
        <v/>
      </c>
      <c r="AD70" s="335"/>
      <c r="AE70" s="336">
        <f t="shared" si="18"/>
        <v>9.325800000000001</v>
      </c>
      <c r="AF70" s="337">
        <f t="shared" si="19"/>
        <v>79.695000000000007</v>
      </c>
      <c r="AG70" s="338">
        <f t="shared" si="20"/>
        <v>34.526250000000005</v>
      </c>
      <c r="AH70" s="339">
        <v>394</v>
      </c>
      <c r="AI70" s="340">
        <v>416</v>
      </c>
      <c r="AJ70" s="340">
        <v>0</v>
      </c>
      <c r="AK70" s="340">
        <v>0</v>
      </c>
      <c r="AL70" s="340">
        <v>0</v>
      </c>
      <c r="AM70" s="340">
        <v>0</v>
      </c>
      <c r="AN70" s="340">
        <v>488</v>
      </c>
      <c r="AO70" s="340">
        <v>506</v>
      </c>
      <c r="AP70" s="340">
        <v>550</v>
      </c>
      <c r="AQ70" s="340">
        <v>630</v>
      </c>
      <c r="AR70" s="340">
        <v>680</v>
      </c>
      <c r="AS70" s="340">
        <v>789</v>
      </c>
      <c r="AT70" s="341">
        <v>849</v>
      </c>
      <c r="AU70" s="339">
        <f t="shared" si="21"/>
        <v>0</v>
      </c>
      <c r="AV70" s="340">
        <f t="shared" si="22"/>
        <v>0</v>
      </c>
      <c r="AW70" s="340">
        <f t="shared" si="23"/>
        <v>0</v>
      </c>
      <c r="AX70" s="340">
        <f t="shared" si="24"/>
        <v>0</v>
      </c>
      <c r="AY70" s="340">
        <f t="shared" si="25"/>
        <v>0</v>
      </c>
      <c r="AZ70" s="340">
        <f t="shared" si="26"/>
        <v>0</v>
      </c>
      <c r="BA70" s="340">
        <f t="shared" si="27"/>
        <v>488</v>
      </c>
      <c r="BB70" s="340">
        <f t="shared" si="28"/>
        <v>0</v>
      </c>
      <c r="BC70" s="340">
        <f t="shared" si="29"/>
        <v>0</v>
      </c>
      <c r="BD70" s="340">
        <f t="shared" si="30"/>
        <v>0</v>
      </c>
      <c r="BE70" s="340">
        <f t="shared" si="31"/>
        <v>0</v>
      </c>
      <c r="BF70" s="340">
        <f t="shared" si="32"/>
        <v>0</v>
      </c>
      <c r="BG70" s="340">
        <f t="shared" si="33"/>
        <v>0</v>
      </c>
      <c r="BH70" s="339" t="str">
        <f t="shared" si="34"/>
        <v/>
      </c>
      <c r="BI70" s="340" t="str">
        <f t="shared" si="35"/>
        <v/>
      </c>
      <c r="BJ70" s="340" t="str">
        <f t="shared" si="36"/>
        <v/>
      </c>
      <c r="BK70" s="340" t="str">
        <f t="shared" si="37"/>
        <v/>
      </c>
      <c r="BL70" s="340" t="str">
        <f t="shared" si="38"/>
        <v/>
      </c>
      <c r="BM70" s="340" t="str">
        <f t="shared" si="39"/>
        <v/>
      </c>
      <c r="BN70" s="340">
        <f t="shared" si="40"/>
        <v>33</v>
      </c>
      <c r="BO70" s="340" t="str">
        <f t="shared" si="41"/>
        <v/>
      </c>
      <c r="BP70" s="340" t="str">
        <f t="shared" si="42"/>
        <v/>
      </c>
      <c r="BQ70" s="340" t="str">
        <f t="shared" si="43"/>
        <v/>
      </c>
      <c r="BR70" s="340" t="str">
        <f t="shared" si="44"/>
        <v/>
      </c>
      <c r="BS70" s="340" t="str">
        <f t="shared" si="45"/>
        <v/>
      </c>
      <c r="BT70" s="341" t="str">
        <f t="shared" si="46"/>
        <v/>
      </c>
      <c r="BU70" s="324"/>
    </row>
    <row r="71" spans="1:73" s="342" customFormat="1">
      <c r="A71" s="324"/>
      <c r="B71" s="324"/>
      <c r="C71" s="570" t="s">
        <v>536</v>
      </c>
      <c r="D71" s="572">
        <v>11.65</v>
      </c>
      <c r="E71" s="572">
        <v>9.0549999999999997</v>
      </c>
      <c r="F71" s="327">
        <f t="shared" si="0"/>
        <v>2.5950000000000006</v>
      </c>
      <c r="G71" s="570" t="s">
        <v>535</v>
      </c>
      <c r="H71" s="572">
        <v>11.5</v>
      </c>
      <c r="I71" s="572">
        <v>8.6359999999999992</v>
      </c>
      <c r="J71" s="327">
        <f t="shared" si="1"/>
        <v>2.8640000000000008</v>
      </c>
      <c r="K71" s="343">
        <f t="shared" si="2"/>
        <v>2.75</v>
      </c>
      <c r="L71" s="570">
        <v>29</v>
      </c>
      <c r="M71" s="570">
        <v>600</v>
      </c>
      <c r="N71" s="345">
        <f t="shared" si="3"/>
        <v>471</v>
      </c>
      <c r="O71" s="345">
        <v>109</v>
      </c>
      <c r="P71" s="346">
        <f t="shared" si="4"/>
        <v>362</v>
      </c>
      <c r="Q71" s="332" t="str">
        <f t="shared" si="5"/>
        <v/>
      </c>
      <c r="R71" s="332" t="str">
        <f t="shared" si="6"/>
        <v/>
      </c>
      <c r="S71" s="333" t="str">
        <f t="shared" si="7"/>
        <v/>
      </c>
      <c r="T71" s="333" t="str">
        <f t="shared" si="8"/>
        <v/>
      </c>
      <c r="U71" s="333" t="str">
        <f t="shared" si="9"/>
        <v/>
      </c>
      <c r="V71" s="333" t="str">
        <f t="shared" si="10"/>
        <v/>
      </c>
      <c r="W71" s="333">
        <f t="shared" si="11"/>
        <v>10498</v>
      </c>
      <c r="X71" s="333" t="str">
        <f t="shared" si="12"/>
        <v/>
      </c>
      <c r="Y71" s="333" t="str">
        <f t="shared" si="13"/>
        <v/>
      </c>
      <c r="Z71" s="333" t="str">
        <f t="shared" si="14"/>
        <v/>
      </c>
      <c r="AA71" s="333" t="str">
        <f t="shared" si="15"/>
        <v/>
      </c>
      <c r="AB71" s="333" t="str">
        <f t="shared" si="16"/>
        <v/>
      </c>
      <c r="AC71" s="334" t="str">
        <f t="shared" si="71"/>
        <v/>
      </c>
      <c r="AD71" s="335"/>
      <c r="AE71" s="336">
        <f t="shared" si="18"/>
        <v>8.1954000000000011</v>
      </c>
      <c r="AF71" s="337">
        <f t="shared" si="19"/>
        <v>70.034999999999997</v>
      </c>
      <c r="AG71" s="338">
        <f t="shared" si="20"/>
        <v>30.341250000000002</v>
      </c>
      <c r="AH71" s="339">
        <v>379</v>
      </c>
      <c r="AI71" s="340">
        <v>401</v>
      </c>
      <c r="AJ71" s="340">
        <v>0</v>
      </c>
      <c r="AK71" s="340">
        <v>0</v>
      </c>
      <c r="AL71" s="340">
        <v>0</v>
      </c>
      <c r="AM71" s="340">
        <v>0</v>
      </c>
      <c r="AN71" s="340">
        <v>471</v>
      </c>
      <c r="AO71" s="340">
        <v>489</v>
      </c>
      <c r="AP71" s="340">
        <v>533</v>
      </c>
      <c r="AQ71" s="340">
        <v>613</v>
      </c>
      <c r="AR71" s="340">
        <v>663</v>
      </c>
      <c r="AS71" s="340">
        <v>772</v>
      </c>
      <c r="AT71" s="341">
        <v>832</v>
      </c>
      <c r="AU71" s="339">
        <f t="shared" si="21"/>
        <v>0</v>
      </c>
      <c r="AV71" s="340">
        <f t="shared" si="22"/>
        <v>0</v>
      </c>
      <c r="AW71" s="340">
        <f t="shared" si="23"/>
        <v>0</v>
      </c>
      <c r="AX71" s="340">
        <f t="shared" si="24"/>
        <v>0</v>
      </c>
      <c r="AY71" s="340">
        <f t="shared" si="25"/>
        <v>0</v>
      </c>
      <c r="AZ71" s="340">
        <f t="shared" si="26"/>
        <v>0</v>
      </c>
      <c r="BA71" s="340">
        <f t="shared" si="27"/>
        <v>471</v>
      </c>
      <c r="BB71" s="340">
        <f t="shared" si="28"/>
        <v>0</v>
      </c>
      <c r="BC71" s="340">
        <f t="shared" si="29"/>
        <v>0</v>
      </c>
      <c r="BD71" s="340">
        <f t="shared" si="30"/>
        <v>0</v>
      </c>
      <c r="BE71" s="340">
        <f t="shared" si="31"/>
        <v>0</v>
      </c>
      <c r="BF71" s="340">
        <f t="shared" si="32"/>
        <v>0</v>
      </c>
      <c r="BG71" s="340">
        <f t="shared" si="33"/>
        <v>0</v>
      </c>
      <c r="BH71" s="339" t="str">
        <f t="shared" si="34"/>
        <v/>
      </c>
      <c r="BI71" s="340" t="str">
        <f t="shared" si="35"/>
        <v/>
      </c>
      <c r="BJ71" s="340" t="str">
        <f t="shared" si="36"/>
        <v/>
      </c>
      <c r="BK71" s="340" t="str">
        <f t="shared" si="37"/>
        <v/>
      </c>
      <c r="BL71" s="340" t="str">
        <f t="shared" si="38"/>
        <v/>
      </c>
      <c r="BM71" s="340" t="str">
        <f t="shared" si="39"/>
        <v/>
      </c>
      <c r="BN71" s="340">
        <f t="shared" si="40"/>
        <v>29</v>
      </c>
      <c r="BO71" s="340" t="str">
        <f t="shared" si="41"/>
        <v/>
      </c>
      <c r="BP71" s="340" t="str">
        <f t="shared" si="42"/>
        <v/>
      </c>
      <c r="BQ71" s="340" t="str">
        <f t="shared" si="43"/>
        <v/>
      </c>
      <c r="BR71" s="340" t="str">
        <f t="shared" si="44"/>
        <v/>
      </c>
      <c r="BS71" s="340" t="str">
        <f t="shared" si="45"/>
        <v/>
      </c>
      <c r="BT71" s="341" t="str">
        <f t="shared" si="46"/>
        <v/>
      </c>
      <c r="BU71" s="324"/>
    </row>
    <row r="72" spans="1:73" s="342" customFormat="1">
      <c r="A72" s="324"/>
      <c r="B72" s="324"/>
      <c r="C72" s="570" t="s">
        <v>535</v>
      </c>
      <c r="D72" s="572">
        <v>11.5</v>
      </c>
      <c r="E72" s="572">
        <v>8.6359999999999992</v>
      </c>
      <c r="F72" s="327">
        <f t="shared" si="0"/>
        <v>2.8640000000000008</v>
      </c>
      <c r="G72" s="570" t="s">
        <v>145</v>
      </c>
      <c r="H72" s="572">
        <v>11.3</v>
      </c>
      <c r="I72" s="572">
        <v>9.1890000000000001</v>
      </c>
      <c r="J72" s="327">
        <f t="shared" si="1"/>
        <v>2.1110000000000007</v>
      </c>
      <c r="K72" s="343">
        <f t="shared" si="2"/>
        <v>2.5</v>
      </c>
      <c r="L72" s="570">
        <v>19</v>
      </c>
      <c r="M72" s="570">
        <v>900</v>
      </c>
      <c r="N72" s="345">
        <f t="shared" si="3"/>
        <v>0</v>
      </c>
      <c r="O72" s="345">
        <v>0</v>
      </c>
      <c r="P72" s="346">
        <f t="shared" si="4"/>
        <v>0</v>
      </c>
      <c r="Q72" s="332" t="str">
        <f t="shared" si="5"/>
        <v/>
      </c>
      <c r="R72" s="332" t="str">
        <f t="shared" si="6"/>
        <v/>
      </c>
      <c r="S72" s="333" t="str">
        <f t="shared" si="7"/>
        <v/>
      </c>
      <c r="T72" s="333" t="str">
        <f t="shared" si="8"/>
        <v/>
      </c>
      <c r="U72" s="333" t="str">
        <f t="shared" si="9"/>
        <v/>
      </c>
      <c r="V72" s="333" t="str">
        <f t="shared" si="10"/>
        <v/>
      </c>
      <c r="W72" s="333" t="str">
        <f t="shared" si="11"/>
        <v/>
      </c>
      <c r="X72" s="333" t="str">
        <f t="shared" si="12"/>
        <v/>
      </c>
      <c r="Y72" s="333" t="str">
        <f t="shared" si="13"/>
        <v/>
      </c>
      <c r="Z72" s="333">
        <f t="shared" si="14"/>
        <v>0</v>
      </c>
      <c r="AA72" s="333" t="str">
        <f t="shared" si="15"/>
        <v/>
      </c>
      <c r="AB72" s="333" t="str">
        <f t="shared" si="16"/>
        <v/>
      </c>
      <c r="AC72" s="334" t="str">
        <f t="shared" si="71"/>
        <v/>
      </c>
      <c r="AD72" s="335"/>
      <c r="AE72" s="336">
        <f t="shared" si="18"/>
        <v>12.081150000000001</v>
      </c>
      <c r="AF72" s="337">
        <f t="shared" si="19"/>
        <v>52.582500000000003</v>
      </c>
      <c r="AG72" s="338">
        <f t="shared" si="20"/>
        <v>19.878750000000004</v>
      </c>
      <c r="AH72" s="339">
        <v>0</v>
      </c>
      <c r="AI72" s="340">
        <v>0</v>
      </c>
      <c r="AJ72" s="340">
        <v>0</v>
      </c>
      <c r="AK72" s="340">
        <v>0</v>
      </c>
      <c r="AL72" s="340">
        <v>0</v>
      </c>
      <c r="AM72" s="340">
        <v>0</v>
      </c>
      <c r="AN72" s="340">
        <v>0</v>
      </c>
      <c r="AO72" s="340">
        <v>0</v>
      </c>
      <c r="AP72" s="340">
        <v>0</v>
      </c>
      <c r="AQ72" s="340">
        <v>0</v>
      </c>
      <c r="AR72" s="340">
        <v>0</v>
      </c>
      <c r="AS72" s="340">
        <v>0</v>
      </c>
      <c r="AT72" s="341">
        <v>0</v>
      </c>
      <c r="AU72" s="339">
        <f t="shared" si="21"/>
        <v>0</v>
      </c>
      <c r="AV72" s="340">
        <f t="shared" si="22"/>
        <v>0</v>
      </c>
      <c r="AW72" s="340">
        <f t="shared" si="23"/>
        <v>0</v>
      </c>
      <c r="AX72" s="340">
        <f t="shared" si="24"/>
        <v>0</v>
      </c>
      <c r="AY72" s="340">
        <f t="shared" si="25"/>
        <v>0</v>
      </c>
      <c r="AZ72" s="340">
        <f t="shared" si="26"/>
        <v>0</v>
      </c>
      <c r="BA72" s="340">
        <f t="shared" si="27"/>
        <v>0</v>
      </c>
      <c r="BB72" s="340">
        <f t="shared" si="28"/>
        <v>0</v>
      </c>
      <c r="BC72" s="340">
        <f t="shared" si="29"/>
        <v>0</v>
      </c>
      <c r="BD72" s="340">
        <f t="shared" si="30"/>
        <v>0</v>
      </c>
      <c r="BE72" s="340">
        <f t="shared" si="31"/>
        <v>0</v>
      </c>
      <c r="BF72" s="340">
        <f t="shared" si="32"/>
        <v>0</v>
      </c>
      <c r="BG72" s="340">
        <f t="shared" si="33"/>
        <v>0</v>
      </c>
      <c r="BH72" s="339" t="str">
        <f t="shared" si="34"/>
        <v/>
      </c>
      <c r="BI72" s="340" t="str">
        <f t="shared" si="35"/>
        <v/>
      </c>
      <c r="BJ72" s="340" t="str">
        <f t="shared" si="36"/>
        <v/>
      </c>
      <c r="BK72" s="340" t="str">
        <f t="shared" si="37"/>
        <v/>
      </c>
      <c r="BL72" s="340" t="str">
        <f t="shared" si="38"/>
        <v/>
      </c>
      <c r="BM72" s="340" t="str">
        <f t="shared" si="39"/>
        <v/>
      </c>
      <c r="BN72" s="340" t="str">
        <f t="shared" si="40"/>
        <v/>
      </c>
      <c r="BO72" s="340" t="str">
        <f t="shared" si="41"/>
        <v/>
      </c>
      <c r="BP72" s="340" t="str">
        <f t="shared" si="42"/>
        <v/>
      </c>
      <c r="BQ72" s="340">
        <f t="shared" si="43"/>
        <v>19</v>
      </c>
      <c r="BR72" s="340" t="str">
        <f t="shared" si="44"/>
        <v/>
      </c>
      <c r="BS72" s="340" t="str">
        <f t="shared" si="45"/>
        <v/>
      </c>
      <c r="BT72" s="341" t="str">
        <f t="shared" si="46"/>
        <v/>
      </c>
      <c r="BU72" s="324"/>
    </row>
    <row r="73" spans="1:73" s="342" customFormat="1">
      <c r="A73" s="324"/>
      <c r="B73" s="324"/>
      <c r="C73" s="570"/>
      <c r="D73" s="572"/>
      <c r="E73" s="572"/>
      <c r="F73" s="327">
        <f t="shared" si="0"/>
        <v>0</v>
      </c>
      <c r="G73" s="570"/>
      <c r="H73" s="572"/>
      <c r="I73" s="572"/>
      <c r="J73" s="327">
        <f t="shared" si="1"/>
        <v>0</v>
      </c>
      <c r="K73" s="343">
        <f t="shared" si="2"/>
        <v>0</v>
      </c>
      <c r="L73" s="570"/>
      <c r="M73" s="570"/>
      <c r="N73" s="345">
        <f t="shared" si="3"/>
        <v>0</v>
      </c>
      <c r="O73" s="345">
        <v>0</v>
      </c>
      <c r="P73" s="346">
        <f t="shared" si="4"/>
        <v>0</v>
      </c>
      <c r="Q73" s="332" t="str">
        <f t="shared" si="5"/>
        <v/>
      </c>
      <c r="R73" s="332" t="str">
        <f t="shared" si="6"/>
        <v/>
      </c>
      <c r="S73" s="333" t="str">
        <f t="shared" si="7"/>
        <v/>
      </c>
      <c r="T73" s="333" t="str">
        <f t="shared" si="8"/>
        <v/>
      </c>
      <c r="U73" s="333" t="str">
        <f t="shared" si="9"/>
        <v/>
      </c>
      <c r="V73" s="333" t="str">
        <f t="shared" si="10"/>
        <v/>
      </c>
      <c r="W73" s="333" t="str">
        <f t="shared" si="11"/>
        <v/>
      </c>
      <c r="X73" s="333" t="str">
        <f t="shared" si="12"/>
        <v/>
      </c>
      <c r="Y73" s="333" t="str">
        <f t="shared" si="13"/>
        <v/>
      </c>
      <c r="Z73" s="333" t="str">
        <f t="shared" si="14"/>
        <v/>
      </c>
      <c r="AA73" s="333" t="str">
        <f t="shared" si="15"/>
        <v/>
      </c>
      <c r="AB73" s="333" t="str">
        <f t="shared" si="16"/>
        <v/>
      </c>
      <c r="AC73" s="334" t="str">
        <f t="shared" si="71"/>
        <v/>
      </c>
      <c r="AD73" s="335"/>
      <c r="AE73" s="336">
        <f t="shared" si="18"/>
        <v>0</v>
      </c>
      <c r="AF73" s="337">
        <f t="shared" si="19"/>
        <v>0</v>
      </c>
      <c r="AG73" s="338">
        <f t="shared" si="20"/>
        <v>0</v>
      </c>
      <c r="AH73" s="339">
        <v>0</v>
      </c>
      <c r="AI73" s="340">
        <v>0</v>
      </c>
      <c r="AJ73" s="340">
        <v>0</v>
      </c>
      <c r="AK73" s="340">
        <v>0</v>
      </c>
      <c r="AL73" s="340">
        <v>0</v>
      </c>
      <c r="AM73" s="340">
        <v>0</v>
      </c>
      <c r="AN73" s="340">
        <v>0</v>
      </c>
      <c r="AO73" s="340">
        <v>0</v>
      </c>
      <c r="AP73" s="340">
        <v>0</v>
      </c>
      <c r="AQ73" s="340">
        <v>0</v>
      </c>
      <c r="AR73" s="340">
        <v>0</v>
      </c>
      <c r="AS73" s="340">
        <v>0</v>
      </c>
      <c r="AT73" s="341">
        <v>0</v>
      </c>
      <c r="AU73" s="339">
        <f t="shared" si="21"/>
        <v>0</v>
      </c>
      <c r="AV73" s="340">
        <f t="shared" si="22"/>
        <v>0</v>
      </c>
      <c r="AW73" s="340">
        <f t="shared" si="23"/>
        <v>0</v>
      </c>
      <c r="AX73" s="340">
        <f t="shared" si="24"/>
        <v>0</v>
      </c>
      <c r="AY73" s="340">
        <f t="shared" si="25"/>
        <v>0</v>
      </c>
      <c r="AZ73" s="340">
        <f t="shared" si="26"/>
        <v>0</v>
      </c>
      <c r="BA73" s="340">
        <f t="shared" si="27"/>
        <v>0</v>
      </c>
      <c r="BB73" s="340">
        <f t="shared" si="28"/>
        <v>0</v>
      </c>
      <c r="BC73" s="340">
        <f t="shared" si="29"/>
        <v>0</v>
      </c>
      <c r="BD73" s="340">
        <f t="shared" si="30"/>
        <v>0</v>
      </c>
      <c r="BE73" s="340">
        <f t="shared" si="31"/>
        <v>0</v>
      </c>
      <c r="BF73" s="340">
        <f t="shared" si="32"/>
        <v>0</v>
      </c>
      <c r="BG73" s="340">
        <f t="shared" si="33"/>
        <v>0</v>
      </c>
      <c r="BH73" s="339" t="str">
        <f t="shared" si="34"/>
        <v/>
      </c>
      <c r="BI73" s="340" t="str">
        <f t="shared" si="35"/>
        <v/>
      </c>
      <c r="BJ73" s="340" t="str">
        <f t="shared" si="36"/>
        <v/>
      </c>
      <c r="BK73" s="340" t="str">
        <f t="shared" si="37"/>
        <v/>
      </c>
      <c r="BL73" s="340" t="str">
        <f t="shared" si="38"/>
        <v/>
      </c>
      <c r="BM73" s="340" t="str">
        <f t="shared" si="39"/>
        <v/>
      </c>
      <c r="BN73" s="340" t="str">
        <f t="shared" si="40"/>
        <v/>
      </c>
      <c r="BO73" s="340" t="str">
        <f t="shared" si="41"/>
        <v/>
      </c>
      <c r="BP73" s="340" t="str">
        <f t="shared" si="42"/>
        <v/>
      </c>
      <c r="BQ73" s="340" t="str">
        <f t="shared" si="43"/>
        <v/>
      </c>
      <c r="BR73" s="340" t="str">
        <f t="shared" si="44"/>
        <v/>
      </c>
      <c r="BS73" s="340" t="str">
        <f t="shared" si="45"/>
        <v/>
      </c>
      <c r="BT73" s="341" t="str">
        <f t="shared" si="46"/>
        <v/>
      </c>
      <c r="BU73" s="324"/>
    </row>
    <row r="74" spans="1:73" s="342" customFormat="1">
      <c r="A74" s="324"/>
      <c r="B74" s="324"/>
      <c r="C74" s="570" t="s">
        <v>534</v>
      </c>
      <c r="D74" s="572">
        <v>11.1</v>
      </c>
      <c r="E74" s="572">
        <v>9.4510000000000005</v>
      </c>
      <c r="F74" s="327">
        <f t="shared" si="0"/>
        <v>1.6489999999999991</v>
      </c>
      <c r="G74" s="570" t="s">
        <v>146</v>
      </c>
      <c r="H74" s="572">
        <v>11.6</v>
      </c>
      <c r="I74" s="572">
        <v>9.3140000000000001</v>
      </c>
      <c r="J74" s="327">
        <f t="shared" si="1"/>
        <v>2.2859999999999996</v>
      </c>
      <c r="K74" s="343">
        <f t="shared" si="2"/>
        <v>2</v>
      </c>
      <c r="L74" s="570">
        <v>55</v>
      </c>
      <c r="M74" s="570">
        <v>600</v>
      </c>
      <c r="N74" s="345">
        <f t="shared" si="3"/>
        <v>0</v>
      </c>
      <c r="O74" s="345">
        <v>0</v>
      </c>
      <c r="P74" s="346">
        <f t="shared" si="4"/>
        <v>0</v>
      </c>
      <c r="Q74" s="332" t="str">
        <f t="shared" si="5"/>
        <v/>
      </c>
      <c r="R74" s="332" t="str">
        <f t="shared" si="6"/>
        <v/>
      </c>
      <c r="S74" s="333" t="str">
        <f t="shared" si="7"/>
        <v/>
      </c>
      <c r="T74" s="333" t="str">
        <f t="shared" si="8"/>
        <v/>
      </c>
      <c r="U74" s="333" t="str">
        <f t="shared" si="9"/>
        <v/>
      </c>
      <c r="V74" s="333" t="str">
        <f t="shared" si="10"/>
        <v/>
      </c>
      <c r="W74" s="333">
        <f t="shared" si="11"/>
        <v>0</v>
      </c>
      <c r="X74" s="333" t="str">
        <f t="shared" si="12"/>
        <v/>
      </c>
      <c r="Y74" s="333" t="str">
        <f t="shared" si="13"/>
        <v/>
      </c>
      <c r="Z74" s="333" t="str">
        <f t="shared" si="14"/>
        <v/>
      </c>
      <c r="AA74" s="333" t="str">
        <f t="shared" si="15"/>
        <v/>
      </c>
      <c r="AB74" s="333" t="str">
        <f t="shared" si="16"/>
        <v/>
      </c>
      <c r="AC74" s="334" t="str">
        <f t="shared" si="71"/>
        <v/>
      </c>
      <c r="AD74" s="335"/>
      <c r="AE74" s="336">
        <f t="shared" si="18"/>
        <v>15.543000000000001</v>
      </c>
      <c r="AF74" s="337">
        <f t="shared" si="19"/>
        <v>89.512500000000003</v>
      </c>
      <c r="AG74" s="338">
        <f t="shared" si="20"/>
        <v>57.54375000000001</v>
      </c>
      <c r="AH74" s="339">
        <v>0</v>
      </c>
      <c r="AI74" s="340">
        <v>0</v>
      </c>
      <c r="AJ74" s="340">
        <v>0</v>
      </c>
      <c r="AK74" s="340">
        <v>0</v>
      </c>
      <c r="AL74" s="340">
        <v>0</v>
      </c>
      <c r="AM74" s="340">
        <v>0</v>
      </c>
      <c r="AN74" s="340">
        <v>0</v>
      </c>
      <c r="AO74" s="340">
        <v>0</v>
      </c>
      <c r="AP74" s="340">
        <v>0</v>
      </c>
      <c r="AQ74" s="340">
        <v>0</v>
      </c>
      <c r="AR74" s="340">
        <v>0</v>
      </c>
      <c r="AS74" s="340">
        <v>0</v>
      </c>
      <c r="AT74" s="341">
        <v>0</v>
      </c>
      <c r="AU74" s="339">
        <f t="shared" si="21"/>
        <v>0</v>
      </c>
      <c r="AV74" s="340">
        <f t="shared" si="22"/>
        <v>0</v>
      </c>
      <c r="AW74" s="340">
        <f t="shared" si="23"/>
        <v>0</v>
      </c>
      <c r="AX74" s="340">
        <f t="shared" si="24"/>
        <v>0</v>
      </c>
      <c r="AY74" s="340">
        <f t="shared" si="25"/>
        <v>0</v>
      </c>
      <c r="AZ74" s="340">
        <f t="shared" si="26"/>
        <v>0</v>
      </c>
      <c r="BA74" s="340">
        <f t="shared" si="27"/>
        <v>0</v>
      </c>
      <c r="BB74" s="340">
        <f t="shared" si="28"/>
        <v>0</v>
      </c>
      <c r="BC74" s="340">
        <f t="shared" si="29"/>
        <v>0</v>
      </c>
      <c r="BD74" s="340">
        <f t="shared" si="30"/>
        <v>0</v>
      </c>
      <c r="BE74" s="340">
        <f t="shared" si="31"/>
        <v>0</v>
      </c>
      <c r="BF74" s="340">
        <f t="shared" si="32"/>
        <v>0</v>
      </c>
      <c r="BG74" s="340">
        <f t="shared" si="33"/>
        <v>0</v>
      </c>
      <c r="BH74" s="339" t="str">
        <f t="shared" si="34"/>
        <v/>
      </c>
      <c r="BI74" s="340" t="str">
        <f t="shared" si="35"/>
        <v/>
      </c>
      <c r="BJ74" s="340" t="str">
        <f t="shared" si="36"/>
        <v/>
      </c>
      <c r="BK74" s="340" t="str">
        <f t="shared" si="37"/>
        <v/>
      </c>
      <c r="BL74" s="340" t="str">
        <f t="shared" si="38"/>
        <v/>
      </c>
      <c r="BM74" s="340" t="str">
        <f t="shared" si="39"/>
        <v/>
      </c>
      <c r="BN74" s="340">
        <f t="shared" si="40"/>
        <v>55</v>
      </c>
      <c r="BO74" s="340" t="str">
        <f t="shared" si="41"/>
        <v/>
      </c>
      <c r="BP74" s="340" t="str">
        <f t="shared" si="42"/>
        <v/>
      </c>
      <c r="BQ74" s="340" t="str">
        <f t="shared" si="43"/>
        <v/>
      </c>
      <c r="BR74" s="340" t="str">
        <f t="shared" si="44"/>
        <v/>
      </c>
      <c r="BS74" s="340" t="str">
        <f t="shared" si="45"/>
        <v/>
      </c>
      <c r="BT74" s="341" t="str">
        <f t="shared" si="46"/>
        <v/>
      </c>
      <c r="BU74" s="324"/>
    </row>
    <row r="75" spans="1:73" s="342" customFormat="1">
      <c r="A75" s="324"/>
      <c r="B75" s="324"/>
      <c r="C75" s="570" t="s">
        <v>146</v>
      </c>
      <c r="D75" s="572">
        <v>11.6</v>
      </c>
      <c r="E75" s="572">
        <v>9.3140000000000001</v>
      </c>
      <c r="F75" s="327">
        <f t="shared" si="0"/>
        <v>2.2859999999999996</v>
      </c>
      <c r="G75" s="570" t="s">
        <v>145</v>
      </c>
      <c r="H75" s="572">
        <v>11.3</v>
      </c>
      <c r="I75" s="572">
        <v>9.1890000000000001</v>
      </c>
      <c r="J75" s="327">
        <f t="shared" si="1"/>
        <v>2.1110000000000007</v>
      </c>
      <c r="K75" s="343">
        <f t="shared" si="2"/>
        <v>2.25</v>
      </c>
      <c r="L75" s="570">
        <v>50</v>
      </c>
      <c r="M75" s="570">
        <v>600</v>
      </c>
      <c r="N75" s="345">
        <f t="shared" si="3"/>
        <v>454</v>
      </c>
      <c r="O75" s="345">
        <v>109</v>
      </c>
      <c r="P75" s="346">
        <f t="shared" si="4"/>
        <v>345</v>
      </c>
      <c r="Q75" s="332" t="str">
        <f t="shared" si="5"/>
        <v/>
      </c>
      <c r="R75" s="332" t="str">
        <f t="shared" si="6"/>
        <v/>
      </c>
      <c r="S75" s="333" t="str">
        <f t="shared" si="7"/>
        <v/>
      </c>
      <c r="T75" s="333" t="str">
        <f t="shared" si="8"/>
        <v/>
      </c>
      <c r="U75" s="333" t="str">
        <f t="shared" si="9"/>
        <v/>
      </c>
      <c r="V75" s="333" t="str">
        <f t="shared" si="10"/>
        <v/>
      </c>
      <c r="W75" s="333">
        <f t="shared" si="11"/>
        <v>17250</v>
      </c>
      <c r="X75" s="333" t="str">
        <f t="shared" si="12"/>
        <v/>
      </c>
      <c r="Y75" s="333" t="str">
        <f t="shared" si="13"/>
        <v/>
      </c>
      <c r="Z75" s="333" t="str">
        <f t="shared" si="14"/>
        <v/>
      </c>
      <c r="AA75" s="333" t="str">
        <f t="shared" si="15"/>
        <v/>
      </c>
      <c r="AB75" s="333" t="str">
        <f t="shared" si="16"/>
        <v/>
      </c>
      <c r="AC75" s="334" t="str">
        <f t="shared" si="71"/>
        <v/>
      </c>
      <c r="AD75" s="335"/>
      <c r="AE75" s="336">
        <f t="shared" si="18"/>
        <v>14.13</v>
      </c>
      <c r="AF75" s="337">
        <f t="shared" si="19"/>
        <v>94.5</v>
      </c>
      <c r="AG75" s="338">
        <f t="shared" si="20"/>
        <v>52.312500000000007</v>
      </c>
      <c r="AH75" s="339">
        <v>364</v>
      </c>
      <c r="AI75" s="340">
        <v>386</v>
      </c>
      <c r="AJ75" s="340">
        <v>0</v>
      </c>
      <c r="AK75" s="340">
        <v>0</v>
      </c>
      <c r="AL75" s="340">
        <v>0</v>
      </c>
      <c r="AM75" s="340">
        <v>0</v>
      </c>
      <c r="AN75" s="340">
        <v>454</v>
      </c>
      <c r="AO75" s="340">
        <v>472</v>
      </c>
      <c r="AP75" s="340">
        <v>516</v>
      </c>
      <c r="AQ75" s="340">
        <v>596</v>
      </c>
      <c r="AR75" s="340">
        <v>646</v>
      </c>
      <c r="AS75" s="340">
        <v>755</v>
      </c>
      <c r="AT75" s="341">
        <v>815</v>
      </c>
      <c r="AU75" s="339">
        <f t="shared" si="21"/>
        <v>0</v>
      </c>
      <c r="AV75" s="340">
        <f t="shared" si="22"/>
        <v>0</v>
      </c>
      <c r="AW75" s="340">
        <f t="shared" si="23"/>
        <v>0</v>
      </c>
      <c r="AX75" s="340">
        <f t="shared" si="24"/>
        <v>0</v>
      </c>
      <c r="AY75" s="340">
        <f t="shared" si="25"/>
        <v>0</v>
      </c>
      <c r="AZ75" s="340">
        <f t="shared" si="26"/>
        <v>0</v>
      </c>
      <c r="BA75" s="340">
        <f t="shared" si="27"/>
        <v>454</v>
      </c>
      <c r="BB75" s="340">
        <f t="shared" si="28"/>
        <v>0</v>
      </c>
      <c r="BC75" s="340">
        <f t="shared" si="29"/>
        <v>0</v>
      </c>
      <c r="BD75" s="340">
        <f t="shared" si="30"/>
        <v>0</v>
      </c>
      <c r="BE75" s="340">
        <f t="shared" si="31"/>
        <v>0</v>
      </c>
      <c r="BF75" s="340">
        <f t="shared" si="32"/>
        <v>0</v>
      </c>
      <c r="BG75" s="340">
        <f t="shared" si="33"/>
        <v>0</v>
      </c>
      <c r="BH75" s="339" t="str">
        <f t="shared" si="34"/>
        <v/>
      </c>
      <c r="BI75" s="340" t="str">
        <f t="shared" si="35"/>
        <v/>
      </c>
      <c r="BJ75" s="340" t="str">
        <f t="shared" si="36"/>
        <v/>
      </c>
      <c r="BK75" s="340" t="str">
        <f t="shared" si="37"/>
        <v/>
      </c>
      <c r="BL75" s="340" t="str">
        <f t="shared" si="38"/>
        <v/>
      </c>
      <c r="BM75" s="340" t="str">
        <f t="shared" si="39"/>
        <v/>
      </c>
      <c r="BN75" s="340">
        <f t="shared" si="40"/>
        <v>50</v>
      </c>
      <c r="BO75" s="340" t="str">
        <f t="shared" si="41"/>
        <v/>
      </c>
      <c r="BP75" s="340" t="str">
        <f t="shared" si="42"/>
        <v/>
      </c>
      <c r="BQ75" s="340" t="str">
        <f t="shared" si="43"/>
        <v/>
      </c>
      <c r="BR75" s="340" t="str">
        <f t="shared" si="44"/>
        <v/>
      </c>
      <c r="BS75" s="340" t="str">
        <f t="shared" si="45"/>
        <v/>
      </c>
      <c r="BT75" s="341" t="str">
        <f t="shared" si="46"/>
        <v/>
      </c>
      <c r="BU75" s="324"/>
    </row>
    <row r="76" spans="1:73" s="342" customFormat="1">
      <c r="A76" s="324"/>
      <c r="B76" s="324"/>
      <c r="C76" s="570"/>
      <c r="D76" s="572"/>
      <c r="E76" s="572"/>
      <c r="F76" s="327">
        <f t="shared" si="0"/>
        <v>0</v>
      </c>
      <c r="G76" s="570"/>
      <c r="H76" s="572"/>
      <c r="I76" s="572"/>
      <c r="J76" s="327">
        <f t="shared" si="1"/>
        <v>0</v>
      </c>
      <c r="K76" s="343">
        <f t="shared" si="2"/>
        <v>0</v>
      </c>
      <c r="L76" s="570"/>
      <c r="M76" s="570"/>
      <c r="N76" s="345">
        <f t="shared" si="3"/>
        <v>0</v>
      </c>
      <c r="O76" s="345">
        <v>109</v>
      </c>
      <c r="P76" s="346">
        <f t="shared" si="4"/>
        <v>0</v>
      </c>
      <c r="Q76" s="332" t="str">
        <f t="shared" si="5"/>
        <v/>
      </c>
      <c r="R76" s="332" t="str">
        <f t="shared" si="6"/>
        <v/>
      </c>
      <c r="S76" s="333" t="str">
        <f t="shared" si="7"/>
        <v/>
      </c>
      <c r="T76" s="333" t="str">
        <f t="shared" si="8"/>
        <v/>
      </c>
      <c r="U76" s="333" t="str">
        <f t="shared" si="9"/>
        <v/>
      </c>
      <c r="V76" s="333" t="str">
        <f t="shared" si="10"/>
        <v/>
      </c>
      <c r="W76" s="333" t="str">
        <f t="shared" si="11"/>
        <v/>
      </c>
      <c r="X76" s="333" t="str">
        <f t="shared" si="12"/>
        <v/>
      </c>
      <c r="Y76" s="333" t="str">
        <f t="shared" si="13"/>
        <v/>
      </c>
      <c r="Z76" s="333" t="str">
        <f t="shared" si="14"/>
        <v/>
      </c>
      <c r="AA76" s="333" t="str">
        <f t="shared" si="15"/>
        <v/>
      </c>
      <c r="AB76" s="333" t="str">
        <f t="shared" si="16"/>
        <v/>
      </c>
      <c r="AC76" s="334" t="str">
        <f t="shared" si="71"/>
        <v/>
      </c>
      <c r="AD76" s="335"/>
      <c r="AE76" s="336">
        <f t="shared" si="18"/>
        <v>0</v>
      </c>
      <c r="AF76" s="337">
        <f t="shared" si="19"/>
        <v>0</v>
      </c>
      <c r="AG76" s="338">
        <f t="shared" si="20"/>
        <v>0</v>
      </c>
      <c r="AH76" s="339">
        <v>292</v>
      </c>
      <c r="AI76" s="340">
        <v>371</v>
      </c>
      <c r="AJ76" s="340">
        <v>0</v>
      </c>
      <c r="AK76" s="340">
        <v>0</v>
      </c>
      <c r="AL76" s="340">
        <v>425</v>
      </c>
      <c r="AM76" s="340">
        <v>430</v>
      </c>
      <c r="AN76" s="340">
        <v>437</v>
      </c>
      <c r="AO76" s="340">
        <v>455</v>
      </c>
      <c r="AP76" s="340">
        <v>499</v>
      </c>
      <c r="AQ76" s="340">
        <v>579</v>
      </c>
      <c r="AR76" s="340">
        <v>629</v>
      </c>
      <c r="AS76" s="340">
        <v>738</v>
      </c>
      <c r="AT76" s="341">
        <v>798</v>
      </c>
      <c r="AU76" s="339">
        <f t="shared" si="21"/>
        <v>0</v>
      </c>
      <c r="AV76" s="340">
        <f t="shared" si="22"/>
        <v>0</v>
      </c>
      <c r="AW76" s="340">
        <f t="shared" si="23"/>
        <v>0</v>
      </c>
      <c r="AX76" s="340">
        <f t="shared" si="24"/>
        <v>0</v>
      </c>
      <c r="AY76" s="340">
        <f t="shared" si="25"/>
        <v>0</v>
      </c>
      <c r="AZ76" s="340">
        <f t="shared" si="26"/>
        <v>0</v>
      </c>
      <c r="BA76" s="340">
        <f t="shared" si="27"/>
        <v>0</v>
      </c>
      <c r="BB76" s="340">
        <f t="shared" si="28"/>
        <v>0</v>
      </c>
      <c r="BC76" s="340">
        <f t="shared" si="29"/>
        <v>0</v>
      </c>
      <c r="BD76" s="340">
        <f t="shared" si="30"/>
        <v>0</v>
      </c>
      <c r="BE76" s="340">
        <f t="shared" si="31"/>
        <v>0</v>
      </c>
      <c r="BF76" s="340">
        <f t="shared" si="32"/>
        <v>0</v>
      </c>
      <c r="BG76" s="340">
        <f t="shared" si="33"/>
        <v>0</v>
      </c>
      <c r="BH76" s="339" t="str">
        <f t="shared" si="34"/>
        <v/>
      </c>
      <c r="BI76" s="340" t="str">
        <f t="shared" si="35"/>
        <v/>
      </c>
      <c r="BJ76" s="340" t="str">
        <f t="shared" si="36"/>
        <v/>
      </c>
      <c r="BK76" s="340" t="str">
        <f t="shared" si="37"/>
        <v/>
      </c>
      <c r="BL76" s="340" t="str">
        <f t="shared" si="38"/>
        <v/>
      </c>
      <c r="BM76" s="340" t="str">
        <f t="shared" si="39"/>
        <v/>
      </c>
      <c r="BN76" s="340" t="str">
        <f t="shared" si="40"/>
        <v/>
      </c>
      <c r="BO76" s="340" t="str">
        <f t="shared" si="41"/>
        <v/>
      </c>
      <c r="BP76" s="340" t="str">
        <f t="shared" si="42"/>
        <v/>
      </c>
      <c r="BQ76" s="340" t="str">
        <f t="shared" si="43"/>
        <v/>
      </c>
      <c r="BR76" s="340" t="str">
        <f t="shared" si="44"/>
        <v/>
      </c>
      <c r="BS76" s="340" t="str">
        <f t="shared" si="45"/>
        <v/>
      </c>
      <c r="BT76" s="341" t="str">
        <f t="shared" si="46"/>
        <v/>
      </c>
      <c r="BU76" s="324"/>
    </row>
    <row r="77" spans="1:73" s="342" customFormat="1">
      <c r="A77" s="324"/>
      <c r="B77" s="324"/>
      <c r="C77" s="570" t="s">
        <v>145</v>
      </c>
      <c r="D77" s="572">
        <v>11.3</v>
      </c>
      <c r="E77" s="572">
        <v>9.1890000000000001</v>
      </c>
      <c r="F77" s="327">
        <f t="shared" si="0"/>
        <v>2.1110000000000007</v>
      </c>
      <c r="G77" s="570" t="s">
        <v>144</v>
      </c>
      <c r="H77" s="572">
        <v>10.7</v>
      </c>
      <c r="I77" s="572">
        <v>8.4930000000000003</v>
      </c>
      <c r="J77" s="327">
        <f t="shared" si="1"/>
        <v>2.206999999999999</v>
      </c>
      <c r="K77" s="343">
        <f t="shared" si="2"/>
        <v>2.25</v>
      </c>
      <c r="L77" s="570">
        <v>39</v>
      </c>
      <c r="M77" s="570">
        <v>900</v>
      </c>
      <c r="N77" s="345">
        <f t="shared" si="3"/>
        <v>528</v>
      </c>
      <c r="O77" s="345">
        <v>109</v>
      </c>
      <c r="P77" s="346">
        <f t="shared" si="4"/>
        <v>419</v>
      </c>
      <c r="Q77" s="332" t="str">
        <f t="shared" si="5"/>
        <v/>
      </c>
      <c r="R77" s="332" t="str">
        <f t="shared" si="6"/>
        <v/>
      </c>
      <c r="S77" s="333" t="str">
        <f t="shared" si="7"/>
        <v/>
      </c>
      <c r="T77" s="333" t="str">
        <f t="shared" si="8"/>
        <v/>
      </c>
      <c r="U77" s="333" t="str">
        <f t="shared" si="9"/>
        <v/>
      </c>
      <c r="V77" s="333" t="str">
        <f t="shared" si="10"/>
        <v/>
      </c>
      <c r="W77" s="333" t="str">
        <f t="shared" si="11"/>
        <v/>
      </c>
      <c r="X77" s="333" t="str">
        <f t="shared" si="12"/>
        <v/>
      </c>
      <c r="Y77" s="333" t="str">
        <f t="shared" si="13"/>
        <v/>
      </c>
      <c r="Z77" s="333">
        <f t="shared" si="14"/>
        <v>16341</v>
      </c>
      <c r="AA77" s="333" t="str">
        <f t="shared" si="15"/>
        <v/>
      </c>
      <c r="AB77" s="333" t="str">
        <f t="shared" si="16"/>
        <v/>
      </c>
      <c r="AC77" s="334" t="str">
        <f t="shared" si="71"/>
        <v/>
      </c>
      <c r="AD77" s="335"/>
      <c r="AE77" s="336">
        <f t="shared" si="18"/>
        <v>24.79815</v>
      </c>
      <c r="AF77" s="337">
        <f t="shared" si="19"/>
        <v>94.77000000000001</v>
      </c>
      <c r="AG77" s="338">
        <f t="shared" si="20"/>
        <v>40.803750000000008</v>
      </c>
      <c r="AH77" s="339">
        <v>257</v>
      </c>
      <c r="AI77" s="340">
        <v>326</v>
      </c>
      <c r="AJ77" s="340">
        <v>351</v>
      </c>
      <c r="AK77" s="340">
        <v>383</v>
      </c>
      <c r="AL77" s="340">
        <v>388</v>
      </c>
      <c r="AM77" s="340">
        <v>377</v>
      </c>
      <c r="AN77" s="340">
        <v>386</v>
      </c>
      <c r="AO77" s="340">
        <v>404</v>
      </c>
      <c r="AP77" s="340">
        <v>448</v>
      </c>
      <c r="AQ77" s="340">
        <v>528</v>
      </c>
      <c r="AR77" s="340">
        <v>578</v>
      </c>
      <c r="AS77" s="340">
        <v>677</v>
      </c>
      <c r="AT77" s="341">
        <v>737</v>
      </c>
      <c r="AU77" s="339">
        <f t="shared" si="21"/>
        <v>0</v>
      </c>
      <c r="AV77" s="340">
        <f t="shared" si="22"/>
        <v>0</v>
      </c>
      <c r="AW77" s="340">
        <f t="shared" si="23"/>
        <v>0</v>
      </c>
      <c r="AX77" s="340">
        <f t="shared" si="24"/>
        <v>0</v>
      </c>
      <c r="AY77" s="340">
        <f t="shared" si="25"/>
        <v>0</v>
      </c>
      <c r="AZ77" s="340">
        <f t="shared" si="26"/>
        <v>0</v>
      </c>
      <c r="BA77" s="340">
        <f t="shared" si="27"/>
        <v>0</v>
      </c>
      <c r="BB77" s="340">
        <f t="shared" si="28"/>
        <v>0</v>
      </c>
      <c r="BC77" s="340">
        <f t="shared" si="29"/>
        <v>0</v>
      </c>
      <c r="BD77" s="340">
        <f t="shared" si="30"/>
        <v>528</v>
      </c>
      <c r="BE77" s="340">
        <f t="shared" si="31"/>
        <v>0</v>
      </c>
      <c r="BF77" s="340">
        <f t="shared" si="32"/>
        <v>0</v>
      </c>
      <c r="BG77" s="340">
        <f t="shared" si="33"/>
        <v>0</v>
      </c>
      <c r="BH77" s="339" t="str">
        <f t="shared" si="34"/>
        <v/>
      </c>
      <c r="BI77" s="340" t="str">
        <f t="shared" si="35"/>
        <v/>
      </c>
      <c r="BJ77" s="340" t="str">
        <f t="shared" si="36"/>
        <v/>
      </c>
      <c r="BK77" s="340" t="str">
        <f t="shared" si="37"/>
        <v/>
      </c>
      <c r="BL77" s="340" t="str">
        <f t="shared" si="38"/>
        <v/>
      </c>
      <c r="BM77" s="340" t="str">
        <f t="shared" si="39"/>
        <v/>
      </c>
      <c r="BN77" s="340" t="str">
        <f t="shared" si="40"/>
        <v/>
      </c>
      <c r="BO77" s="340" t="str">
        <f t="shared" si="41"/>
        <v/>
      </c>
      <c r="BP77" s="340" t="str">
        <f t="shared" si="42"/>
        <v/>
      </c>
      <c r="BQ77" s="340">
        <f t="shared" si="43"/>
        <v>39</v>
      </c>
      <c r="BR77" s="340" t="str">
        <f t="shared" si="44"/>
        <v/>
      </c>
      <c r="BS77" s="340" t="str">
        <f t="shared" si="45"/>
        <v/>
      </c>
      <c r="BT77" s="341" t="str">
        <f t="shared" si="46"/>
        <v/>
      </c>
      <c r="BU77" s="324"/>
    </row>
    <row r="78" spans="1:73" s="342" customFormat="1">
      <c r="A78" s="324"/>
      <c r="B78" s="324"/>
      <c r="C78" s="570"/>
      <c r="D78" s="572"/>
      <c r="E78" s="572"/>
      <c r="F78" s="327">
        <f t="shared" si="0"/>
        <v>0</v>
      </c>
      <c r="G78" s="570"/>
      <c r="H78" s="572"/>
      <c r="I78" s="572"/>
      <c r="J78" s="327">
        <f t="shared" si="1"/>
        <v>0</v>
      </c>
      <c r="K78" s="343">
        <f t="shared" si="2"/>
        <v>0</v>
      </c>
      <c r="L78" s="570"/>
      <c r="M78" s="570"/>
      <c r="N78" s="345">
        <f t="shared" si="3"/>
        <v>0</v>
      </c>
      <c r="O78" s="345">
        <v>109</v>
      </c>
      <c r="P78" s="346">
        <f t="shared" si="4"/>
        <v>0</v>
      </c>
      <c r="Q78" s="332" t="str">
        <f t="shared" si="5"/>
        <v/>
      </c>
      <c r="R78" s="332" t="str">
        <f t="shared" si="6"/>
        <v/>
      </c>
      <c r="S78" s="333" t="str">
        <f t="shared" si="7"/>
        <v/>
      </c>
      <c r="T78" s="333" t="str">
        <f t="shared" si="8"/>
        <v/>
      </c>
      <c r="U78" s="333" t="str">
        <f t="shared" si="9"/>
        <v/>
      </c>
      <c r="V78" s="333" t="str">
        <f t="shared" si="10"/>
        <v/>
      </c>
      <c r="W78" s="333" t="str">
        <f t="shared" si="11"/>
        <v/>
      </c>
      <c r="X78" s="333" t="str">
        <f t="shared" si="12"/>
        <v/>
      </c>
      <c r="Y78" s="333" t="str">
        <f t="shared" si="13"/>
        <v/>
      </c>
      <c r="Z78" s="333" t="str">
        <f t="shared" si="14"/>
        <v/>
      </c>
      <c r="AA78" s="333" t="str">
        <f t="shared" si="15"/>
        <v/>
      </c>
      <c r="AB78" s="333" t="str">
        <f t="shared" si="16"/>
        <v/>
      </c>
      <c r="AC78" s="334" t="str">
        <f t="shared" si="71"/>
        <v/>
      </c>
      <c r="AD78" s="335"/>
      <c r="AE78" s="336">
        <f t="shared" si="18"/>
        <v>0</v>
      </c>
      <c r="AF78" s="337">
        <f t="shared" si="19"/>
        <v>0</v>
      </c>
      <c r="AG78" s="338">
        <f t="shared" si="20"/>
        <v>0</v>
      </c>
      <c r="AH78" s="339">
        <v>234</v>
      </c>
      <c r="AI78" s="340">
        <v>270</v>
      </c>
      <c r="AJ78" s="340">
        <v>291</v>
      </c>
      <c r="AK78" s="340">
        <v>316</v>
      </c>
      <c r="AL78" s="340">
        <v>321</v>
      </c>
      <c r="AM78" s="340">
        <v>305</v>
      </c>
      <c r="AN78" s="340">
        <v>335</v>
      </c>
      <c r="AO78" s="340">
        <v>353</v>
      </c>
      <c r="AP78" s="340">
        <v>399</v>
      </c>
      <c r="AQ78" s="340">
        <v>479</v>
      </c>
      <c r="AR78" s="340">
        <v>529</v>
      </c>
      <c r="AS78" s="340">
        <v>626</v>
      </c>
      <c r="AT78" s="341">
        <v>686</v>
      </c>
      <c r="AU78" s="339">
        <f t="shared" si="21"/>
        <v>0</v>
      </c>
      <c r="AV78" s="340">
        <f t="shared" si="22"/>
        <v>0</v>
      </c>
      <c r="AW78" s="340">
        <f t="shared" si="23"/>
        <v>0</v>
      </c>
      <c r="AX78" s="340">
        <f t="shared" si="24"/>
        <v>0</v>
      </c>
      <c r="AY78" s="340">
        <f t="shared" si="25"/>
        <v>0</v>
      </c>
      <c r="AZ78" s="340">
        <f t="shared" si="26"/>
        <v>0</v>
      </c>
      <c r="BA78" s="340">
        <f t="shared" si="27"/>
        <v>0</v>
      </c>
      <c r="BB78" s="340">
        <f t="shared" si="28"/>
        <v>0</v>
      </c>
      <c r="BC78" s="340">
        <f t="shared" si="29"/>
        <v>0</v>
      </c>
      <c r="BD78" s="340">
        <f t="shared" si="30"/>
        <v>0</v>
      </c>
      <c r="BE78" s="340">
        <f t="shared" si="31"/>
        <v>0</v>
      </c>
      <c r="BF78" s="340">
        <f t="shared" si="32"/>
        <v>0</v>
      </c>
      <c r="BG78" s="340">
        <f t="shared" si="33"/>
        <v>0</v>
      </c>
      <c r="BH78" s="339" t="str">
        <f t="shared" si="34"/>
        <v/>
      </c>
      <c r="BI78" s="340" t="str">
        <f t="shared" si="35"/>
        <v/>
      </c>
      <c r="BJ78" s="340" t="str">
        <f t="shared" si="36"/>
        <v/>
      </c>
      <c r="BK78" s="340" t="str">
        <f t="shared" si="37"/>
        <v/>
      </c>
      <c r="BL78" s="340" t="str">
        <f t="shared" si="38"/>
        <v/>
      </c>
      <c r="BM78" s="340" t="str">
        <f t="shared" si="39"/>
        <v/>
      </c>
      <c r="BN78" s="340" t="str">
        <f t="shared" si="40"/>
        <v/>
      </c>
      <c r="BO78" s="340" t="str">
        <f t="shared" si="41"/>
        <v/>
      </c>
      <c r="BP78" s="340" t="str">
        <f t="shared" si="42"/>
        <v/>
      </c>
      <c r="BQ78" s="340" t="str">
        <f t="shared" si="43"/>
        <v/>
      </c>
      <c r="BR78" s="340" t="str">
        <f t="shared" si="44"/>
        <v/>
      </c>
      <c r="BS78" s="340" t="str">
        <f t="shared" si="45"/>
        <v/>
      </c>
      <c r="BT78" s="341" t="str">
        <f t="shared" si="46"/>
        <v/>
      </c>
      <c r="BU78" s="324"/>
    </row>
    <row r="79" spans="1:73" s="342" customFormat="1">
      <c r="A79" s="324"/>
      <c r="B79" s="324"/>
      <c r="C79" s="570" t="s">
        <v>147</v>
      </c>
      <c r="D79" s="572">
        <v>11.2</v>
      </c>
      <c r="E79" s="572">
        <v>9.5640000000000001</v>
      </c>
      <c r="F79" s="327">
        <f t="shared" si="0"/>
        <v>1.6359999999999992</v>
      </c>
      <c r="G79" s="570" t="s">
        <v>533</v>
      </c>
      <c r="H79" s="572">
        <v>11.13</v>
      </c>
      <c r="I79" s="572">
        <v>9.3040000000000003</v>
      </c>
      <c r="J79" s="327">
        <f t="shared" si="1"/>
        <v>1.8260000000000005</v>
      </c>
      <c r="K79" s="343">
        <f t="shared" si="2"/>
        <v>1.75</v>
      </c>
      <c r="L79" s="570">
        <v>44</v>
      </c>
      <c r="M79" s="570">
        <v>300</v>
      </c>
      <c r="N79" s="345">
        <f t="shared" si="3"/>
        <v>231</v>
      </c>
      <c r="O79" s="345">
        <v>109</v>
      </c>
      <c r="P79" s="346">
        <f t="shared" si="4"/>
        <v>122</v>
      </c>
      <c r="Q79" s="332" t="str">
        <f t="shared" si="5"/>
        <v/>
      </c>
      <c r="R79" s="332" t="str">
        <f t="shared" si="6"/>
        <v/>
      </c>
      <c r="S79" s="333">
        <f t="shared" si="7"/>
        <v>5368</v>
      </c>
      <c r="T79" s="333" t="str">
        <f t="shared" si="8"/>
        <v/>
      </c>
      <c r="U79" s="333" t="str">
        <f t="shared" si="9"/>
        <v/>
      </c>
      <c r="V79" s="333" t="str">
        <f t="shared" si="10"/>
        <v/>
      </c>
      <c r="W79" s="333" t="str">
        <f t="shared" si="11"/>
        <v/>
      </c>
      <c r="X79" s="333" t="str">
        <f t="shared" si="12"/>
        <v/>
      </c>
      <c r="Y79" s="333" t="str">
        <f t="shared" si="13"/>
        <v/>
      </c>
      <c r="Z79" s="333" t="str">
        <f t="shared" si="14"/>
        <v/>
      </c>
      <c r="AA79" s="333" t="str">
        <f t="shared" si="15"/>
        <v/>
      </c>
      <c r="AB79" s="333" t="str">
        <f t="shared" si="16"/>
        <v/>
      </c>
      <c r="AC79" s="334" t="str">
        <f t="shared" si="71"/>
        <v/>
      </c>
      <c r="AD79" s="335"/>
      <c r="AE79" s="336">
        <f t="shared" si="18"/>
        <v>3.1086</v>
      </c>
      <c r="AF79" s="337">
        <f t="shared" si="19"/>
        <v>42.900000000000006</v>
      </c>
      <c r="AG79" s="338">
        <f t="shared" si="20"/>
        <v>46.035000000000004</v>
      </c>
      <c r="AH79" s="339">
        <v>187</v>
      </c>
      <c r="AI79" s="340">
        <v>210</v>
      </c>
      <c r="AJ79" s="340">
        <v>231</v>
      </c>
      <c r="AK79" s="340">
        <v>245</v>
      </c>
      <c r="AL79" s="340">
        <v>261</v>
      </c>
      <c r="AM79" s="340">
        <v>263</v>
      </c>
      <c r="AN79" s="340">
        <v>284</v>
      </c>
      <c r="AO79" s="340">
        <v>302</v>
      </c>
      <c r="AP79" s="340">
        <v>338</v>
      </c>
      <c r="AQ79" s="340">
        <v>418</v>
      </c>
      <c r="AR79" s="340">
        <v>468</v>
      </c>
      <c r="AS79" s="340">
        <v>570</v>
      </c>
      <c r="AT79" s="341">
        <v>630</v>
      </c>
      <c r="AU79" s="339">
        <f t="shared" si="21"/>
        <v>0</v>
      </c>
      <c r="AV79" s="340">
        <f t="shared" si="22"/>
        <v>0</v>
      </c>
      <c r="AW79" s="340">
        <f t="shared" si="23"/>
        <v>231</v>
      </c>
      <c r="AX79" s="340">
        <f t="shared" si="24"/>
        <v>0</v>
      </c>
      <c r="AY79" s="340">
        <f t="shared" si="25"/>
        <v>0</v>
      </c>
      <c r="AZ79" s="340">
        <f t="shared" si="26"/>
        <v>0</v>
      </c>
      <c r="BA79" s="340">
        <f t="shared" si="27"/>
        <v>0</v>
      </c>
      <c r="BB79" s="340">
        <f t="shared" si="28"/>
        <v>0</v>
      </c>
      <c r="BC79" s="340">
        <f t="shared" si="29"/>
        <v>0</v>
      </c>
      <c r="BD79" s="340">
        <f t="shared" si="30"/>
        <v>0</v>
      </c>
      <c r="BE79" s="340">
        <f t="shared" si="31"/>
        <v>0</v>
      </c>
      <c r="BF79" s="340">
        <f t="shared" si="32"/>
        <v>0</v>
      </c>
      <c r="BG79" s="340">
        <f t="shared" si="33"/>
        <v>0</v>
      </c>
      <c r="BH79" s="339" t="str">
        <f t="shared" si="34"/>
        <v/>
      </c>
      <c r="BI79" s="340" t="str">
        <f t="shared" si="35"/>
        <v/>
      </c>
      <c r="BJ79" s="340">
        <f t="shared" si="36"/>
        <v>44</v>
      </c>
      <c r="BK79" s="340" t="str">
        <f t="shared" si="37"/>
        <v/>
      </c>
      <c r="BL79" s="340" t="str">
        <f t="shared" si="38"/>
        <v/>
      </c>
      <c r="BM79" s="340" t="str">
        <f t="shared" si="39"/>
        <v/>
      </c>
      <c r="BN79" s="340" t="str">
        <f t="shared" si="40"/>
        <v/>
      </c>
      <c r="BO79" s="340" t="str">
        <f t="shared" si="41"/>
        <v/>
      </c>
      <c r="BP79" s="340" t="str">
        <f t="shared" si="42"/>
        <v/>
      </c>
      <c r="BQ79" s="340" t="str">
        <f t="shared" si="43"/>
        <v/>
      </c>
      <c r="BR79" s="340" t="str">
        <f t="shared" si="44"/>
        <v/>
      </c>
      <c r="BS79" s="340" t="str">
        <f t="shared" si="45"/>
        <v/>
      </c>
      <c r="BT79" s="341" t="str">
        <f t="shared" si="46"/>
        <v/>
      </c>
      <c r="BU79" s="324"/>
    </row>
    <row r="80" spans="1:73" s="342" customFormat="1">
      <c r="A80" s="324"/>
      <c r="B80" s="324"/>
      <c r="C80" s="570" t="s">
        <v>533</v>
      </c>
      <c r="D80" s="572">
        <v>11.13</v>
      </c>
      <c r="E80" s="572">
        <v>9.3040000000000003</v>
      </c>
      <c r="F80" s="327">
        <f t="shared" si="0"/>
        <v>1.8260000000000005</v>
      </c>
      <c r="G80" s="570" t="s">
        <v>144</v>
      </c>
      <c r="H80" s="572">
        <v>10.7</v>
      </c>
      <c r="I80" s="572">
        <v>8.4930000000000003</v>
      </c>
      <c r="J80" s="327">
        <f t="shared" si="1"/>
        <v>2.206999999999999</v>
      </c>
      <c r="K80" s="343">
        <f t="shared" si="2"/>
        <v>2.25</v>
      </c>
      <c r="L80" s="570">
        <v>36</v>
      </c>
      <c r="M80" s="570">
        <v>300</v>
      </c>
      <c r="N80" s="345">
        <f t="shared" si="3"/>
        <v>195</v>
      </c>
      <c r="O80" s="345">
        <v>109</v>
      </c>
      <c r="P80" s="346">
        <f t="shared" si="4"/>
        <v>86</v>
      </c>
      <c r="Q80" s="332" t="str">
        <f t="shared" si="5"/>
        <v/>
      </c>
      <c r="R80" s="332" t="str">
        <f t="shared" si="6"/>
        <v/>
      </c>
      <c r="S80" s="333">
        <f t="shared" si="7"/>
        <v>3096</v>
      </c>
      <c r="T80" s="333" t="str">
        <f t="shared" si="8"/>
        <v/>
      </c>
      <c r="U80" s="333" t="str">
        <f t="shared" si="9"/>
        <v/>
      </c>
      <c r="V80" s="333" t="str">
        <f t="shared" si="10"/>
        <v/>
      </c>
      <c r="W80" s="333" t="str">
        <f t="shared" si="11"/>
        <v/>
      </c>
      <c r="X80" s="333" t="str">
        <f t="shared" si="12"/>
        <v/>
      </c>
      <c r="Y80" s="333" t="str">
        <f t="shared" si="13"/>
        <v/>
      </c>
      <c r="Z80" s="333" t="str">
        <f t="shared" si="14"/>
        <v/>
      </c>
      <c r="AA80" s="333" t="str">
        <f t="shared" si="15"/>
        <v/>
      </c>
      <c r="AB80" s="333" t="str">
        <f t="shared" si="16"/>
        <v/>
      </c>
      <c r="AC80" s="334" t="str">
        <f t="shared" si="71"/>
        <v/>
      </c>
      <c r="AD80" s="335"/>
      <c r="AE80" s="336">
        <f t="shared" si="18"/>
        <v>2.5434000000000001</v>
      </c>
      <c r="AF80" s="337">
        <f t="shared" si="19"/>
        <v>48.6</v>
      </c>
      <c r="AG80" s="338">
        <f t="shared" si="20"/>
        <v>37.665000000000006</v>
      </c>
      <c r="AH80" s="339">
        <v>145</v>
      </c>
      <c r="AI80" s="340">
        <v>189</v>
      </c>
      <c r="AJ80" s="340">
        <v>195</v>
      </c>
      <c r="AK80" s="340">
        <v>212</v>
      </c>
      <c r="AL80" s="340">
        <v>226</v>
      </c>
      <c r="AM80" s="340">
        <v>234</v>
      </c>
      <c r="AN80" s="340">
        <v>250</v>
      </c>
      <c r="AO80" s="340">
        <v>268</v>
      </c>
      <c r="AP80" s="340">
        <v>298</v>
      </c>
      <c r="AQ80" s="340">
        <v>378</v>
      </c>
      <c r="AR80" s="340">
        <v>428</v>
      </c>
      <c r="AS80" s="340">
        <v>538</v>
      </c>
      <c r="AT80" s="341">
        <v>598</v>
      </c>
      <c r="AU80" s="339">
        <f t="shared" si="21"/>
        <v>0</v>
      </c>
      <c r="AV80" s="340">
        <f t="shared" si="22"/>
        <v>0</v>
      </c>
      <c r="AW80" s="340">
        <f t="shared" si="23"/>
        <v>195</v>
      </c>
      <c r="AX80" s="340">
        <f t="shared" si="24"/>
        <v>0</v>
      </c>
      <c r="AY80" s="340">
        <f t="shared" si="25"/>
        <v>0</v>
      </c>
      <c r="AZ80" s="340">
        <f t="shared" si="26"/>
        <v>0</v>
      </c>
      <c r="BA80" s="340">
        <f t="shared" si="27"/>
        <v>0</v>
      </c>
      <c r="BB80" s="340">
        <f t="shared" si="28"/>
        <v>0</v>
      </c>
      <c r="BC80" s="340">
        <f t="shared" si="29"/>
        <v>0</v>
      </c>
      <c r="BD80" s="340">
        <f t="shared" si="30"/>
        <v>0</v>
      </c>
      <c r="BE80" s="340">
        <f t="shared" si="31"/>
        <v>0</v>
      </c>
      <c r="BF80" s="340">
        <f t="shared" si="32"/>
        <v>0</v>
      </c>
      <c r="BG80" s="340">
        <f t="shared" si="33"/>
        <v>0</v>
      </c>
      <c r="BH80" s="339" t="str">
        <f t="shared" si="34"/>
        <v/>
      </c>
      <c r="BI80" s="340" t="str">
        <f t="shared" si="35"/>
        <v/>
      </c>
      <c r="BJ80" s="340">
        <f t="shared" si="36"/>
        <v>36</v>
      </c>
      <c r="BK80" s="340" t="str">
        <f t="shared" si="37"/>
        <v/>
      </c>
      <c r="BL80" s="340" t="str">
        <f t="shared" si="38"/>
        <v/>
      </c>
      <c r="BM80" s="340" t="str">
        <f t="shared" si="39"/>
        <v/>
      </c>
      <c r="BN80" s="340" t="str">
        <f t="shared" si="40"/>
        <v/>
      </c>
      <c r="BO80" s="340" t="str">
        <f t="shared" si="41"/>
        <v/>
      </c>
      <c r="BP80" s="340" t="str">
        <f t="shared" si="42"/>
        <v/>
      </c>
      <c r="BQ80" s="340" t="str">
        <f t="shared" si="43"/>
        <v/>
      </c>
      <c r="BR80" s="340" t="str">
        <f t="shared" si="44"/>
        <v/>
      </c>
      <c r="BS80" s="340" t="str">
        <f t="shared" si="45"/>
        <v/>
      </c>
      <c r="BT80" s="341" t="str">
        <f t="shared" si="46"/>
        <v/>
      </c>
      <c r="BU80" s="324"/>
    </row>
    <row r="81" spans="1:73" s="342" customFormat="1">
      <c r="A81" s="324"/>
      <c r="B81" s="324"/>
      <c r="C81" s="570"/>
      <c r="D81" s="572"/>
      <c r="E81" s="572"/>
      <c r="F81" s="327">
        <f t="shared" si="0"/>
        <v>0</v>
      </c>
      <c r="G81" s="570"/>
      <c r="H81" s="572"/>
      <c r="I81" s="572"/>
      <c r="J81" s="327">
        <f t="shared" si="1"/>
        <v>0</v>
      </c>
      <c r="K81" s="343">
        <f t="shared" si="2"/>
        <v>0</v>
      </c>
      <c r="L81" s="570"/>
      <c r="M81" s="570"/>
      <c r="N81" s="345">
        <f t="shared" si="3"/>
        <v>0</v>
      </c>
      <c r="O81" s="345">
        <v>109</v>
      </c>
      <c r="P81" s="346">
        <f t="shared" si="4"/>
        <v>0</v>
      </c>
      <c r="Q81" s="332" t="str">
        <f t="shared" si="5"/>
        <v/>
      </c>
      <c r="R81" s="332" t="str">
        <f t="shared" si="6"/>
        <v/>
      </c>
      <c r="S81" s="333" t="str">
        <f t="shared" si="7"/>
        <v/>
      </c>
      <c r="T81" s="333" t="str">
        <f t="shared" si="8"/>
        <v/>
      </c>
      <c r="U81" s="333" t="str">
        <f t="shared" si="9"/>
        <v/>
      </c>
      <c r="V81" s="333" t="str">
        <f t="shared" si="10"/>
        <v/>
      </c>
      <c r="W81" s="333" t="str">
        <f t="shared" si="11"/>
        <v/>
      </c>
      <c r="X81" s="333" t="str">
        <f t="shared" si="12"/>
        <v/>
      </c>
      <c r="Y81" s="333" t="str">
        <f t="shared" si="13"/>
        <v/>
      </c>
      <c r="Z81" s="333" t="str">
        <f t="shared" si="14"/>
        <v/>
      </c>
      <c r="AA81" s="333" t="str">
        <f t="shared" si="15"/>
        <v/>
      </c>
      <c r="AB81" s="333" t="str">
        <f t="shared" si="16"/>
        <v/>
      </c>
      <c r="AC81" s="334" t="str">
        <f t="shared" si="71"/>
        <v/>
      </c>
      <c r="AD81" s="335"/>
      <c r="AE81" s="336">
        <f t="shared" si="18"/>
        <v>0</v>
      </c>
      <c r="AF81" s="337">
        <f t="shared" si="19"/>
        <v>0</v>
      </c>
      <c r="AG81" s="338">
        <f t="shared" si="20"/>
        <v>0</v>
      </c>
      <c r="AH81" s="339">
        <v>240</v>
      </c>
      <c r="AI81" s="340">
        <v>296</v>
      </c>
      <c r="AJ81" s="340">
        <v>311</v>
      </c>
      <c r="AK81" s="340">
        <v>336</v>
      </c>
      <c r="AL81" s="340">
        <v>341</v>
      </c>
      <c r="AM81" s="340">
        <v>337</v>
      </c>
      <c r="AN81" s="340">
        <v>352</v>
      </c>
      <c r="AO81" s="340">
        <v>370</v>
      </c>
      <c r="AP81" s="340">
        <v>414</v>
      </c>
      <c r="AQ81" s="340">
        <v>494</v>
      </c>
      <c r="AR81" s="340">
        <v>544</v>
      </c>
      <c r="AS81" s="340">
        <v>643</v>
      </c>
      <c r="AT81" s="341">
        <v>703</v>
      </c>
      <c r="AU81" s="339">
        <f t="shared" si="21"/>
        <v>0</v>
      </c>
      <c r="AV81" s="340">
        <f t="shared" si="22"/>
        <v>0</v>
      </c>
      <c r="AW81" s="340">
        <f t="shared" si="23"/>
        <v>0</v>
      </c>
      <c r="AX81" s="340">
        <f t="shared" si="24"/>
        <v>0</v>
      </c>
      <c r="AY81" s="340">
        <f t="shared" si="25"/>
        <v>0</v>
      </c>
      <c r="AZ81" s="340">
        <f t="shared" si="26"/>
        <v>0</v>
      </c>
      <c r="BA81" s="340">
        <f t="shared" si="27"/>
        <v>0</v>
      </c>
      <c r="BB81" s="340">
        <f t="shared" si="28"/>
        <v>0</v>
      </c>
      <c r="BC81" s="340">
        <f t="shared" si="29"/>
        <v>0</v>
      </c>
      <c r="BD81" s="340">
        <f t="shared" si="30"/>
        <v>0</v>
      </c>
      <c r="BE81" s="340">
        <f t="shared" si="31"/>
        <v>0</v>
      </c>
      <c r="BF81" s="340">
        <f t="shared" si="32"/>
        <v>0</v>
      </c>
      <c r="BG81" s="340">
        <f t="shared" si="33"/>
        <v>0</v>
      </c>
      <c r="BH81" s="339" t="str">
        <f t="shared" si="34"/>
        <v/>
      </c>
      <c r="BI81" s="340" t="str">
        <f t="shared" si="35"/>
        <v/>
      </c>
      <c r="BJ81" s="340" t="str">
        <f t="shared" si="36"/>
        <v/>
      </c>
      <c r="BK81" s="340" t="str">
        <f t="shared" si="37"/>
        <v/>
      </c>
      <c r="BL81" s="340" t="str">
        <f t="shared" si="38"/>
        <v/>
      </c>
      <c r="BM81" s="340" t="str">
        <f t="shared" si="39"/>
        <v/>
      </c>
      <c r="BN81" s="340" t="str">
        <f t="shared" si="40"/>
        <v/>
      </c>
      <c r="BO81" s="340" t="str">
        <f t="shared" si="41"/>
        <v/>
      </c>
      <c r="BP81" s="340" t="str">
        <f t="shared" si="42"/>
        <v/>
      </c>
      <c r="BQ81" s="340" t="str">
        <f t="shared" si="43"/>
        <v/>
      </c>
      <c r="BR81" s="340" t="str">
        <f t="shared" si="44"/>
        <v/>
      </c>
      <c r="BS81" s="340" t="str">
        <f t="shared" si="45"/>
        <v/>
      </c>
      <c r="BT81" s="341" t="str">
        <f t="shared" si="46"/>
        <v/>
      </c>
      <c r="BU81" s="324"/>
    </row>
    <row r="82" spans="1:73" s="342" customFormat="1">
      <c r="A82" s="324"/>
      <c r="B82" s="324"/>
      <c r="C82" s="570" t="s">
        <v>144</v>
      </c>
      <c r="D82" s="572">
        <v>10.7</v>
      </c>
      <c r="E82" s="572">
        <v>8.4930000000000003</v>
      </c>
      <c r="F82" s="327">
        <f t="shared" si="0"/>
        <v>2.206999999999999</v>
      </c>
      <c r="G82" s="570" t="s">
        <v>143</v>
      </c>
      <c r="H82" s="572">
        <v>10.55</v>
      </c>
      <c r="I82" s="572">
        <v>8.3320000000000007</v>
      </c>
      <c r="J82" s="327">
        <f t="shared" si="1"/>
        <v>2.218</v>
      </c>
      <c r="K82" s="343">
        <f t="shared" si="2"/>
        <v>2.25</v>
      </c>
      <c r="L82" s="570">
        <v>65</v>
      </c>
      <c r="M82" s="570">
        <v>900</v>
      </c>
      <c r="N82" s="345">
        <f t="shared" si="3"/>
        <v>562</v>
      </c>
      <c r="O82" s="345">
        <v>109</v>
      </c>
      <c r="P82" s="346">
        <f t="shared" si="4"/>
        <v>453</v>
      </c>
      <c r="Q82" s="332" t="str">
        <f t="shared" si="5"/>
        <v/>
      </c>
      <c r="R82" s="332" t="str">
        <f t="shared" si="6"/>
        <v/>
      </c>
      <c r="S82" s="333" t="str">
        <f t="shared" si="7"/>
        <v/>
      </c>
      <c r="T82" s="333" t="str">
        <f t="shared" si="8"/>
        <v/>
      </c>
      <c r="U82" s="333" t="str">
        <f t="shared" si="9"/>
        <v/>
      </c>
      <c r="V82" s="333" t="str">
        <f t="shared" si="10"/>
        <v/>
      </c>
      <c r="W82" s="333" t="str">
        <f t="shared" si="11"/>
        <v/>
      </c>
      <c r="X82" s="333" t="str">
        <f t="shared" si="12"/>
        <v/>
      </c>
      <c r="Y82" s="333" t="str">
        <f t="shared" si="13"/>
        <v/>
      </c>
      <c r="Z82" s="333">
        <f t="shared" si="14"/>
        <v>29445</v>
      </c>
      <c r="AA82" s="333" t="str">
        <f t="shared" si="15"/>
        <v/>
      </c>
      <c r="AB82" s="333" t="str">
        <f t="shared" si="16"/>
        <v/>
      </c>
      <c r="AC82" s="334" t="str">
        <f t="shared" si="71"/>
        <v/>
      </c>
      <c r="AD82" s="335"/>
      <c r="AE82" s="336">
        <f t="shared" si="18"/>
        <v>41.330249999999999</v>
      </c>
      <c r="AF82" s="337">
        <f t="shared" si="19"/>
        <v>157.95000000000002</v>
      </c>
      <c r="AG82" s="338">
        <f t="shared" si="20"/>
        <v>68.006250000000009</v>
      </c>
      <c r="AH82" s="339">
        <v>281</v>
      </c>
      <c r="AI82" s="340">
        <v>356</v>
      </c>
      <c r="AJ82" s="340">
        <v>0</v>
      </c>
      <c r="AK82" s="340">
        <v>0</v>
      </c>
      <c r="AL82" s="340">
        <v>414</v>
      </c>
      <c r="AM82" s="340">
        <v>417</v>
      </c>
      <c r="AN82" s="340">
        <v>420</v>
      </c>
      <c r="AO82" s="340">
        <v>438</v>
      </c>
      <c r="AP82" s="340">
        <v>482</v>
      </c>
      <c r="AQ82" s="340">
        <v>562</v>
      </c>
      <c r="AR82" s="340">
        <v>612</v>
      </c>
      <c r="AS82" s="340">
        <v>721</v>
      </c>
      <c r="AT82" s="341">
        <v>781</v>
      </c>
      <c r="AU82" s="339">
        <f t="shared" si="21"/>
        <v>0</v>
      </c>
      <c r="AV82" s="340">
        <f t="shared" si="22"/>
        <v>0</v>
      </c>
      <c r="AW82" s="340">
        <f t="shared" si="23"/>
        <v>0</v>
      </c>
      <c r="AX82" s="340">
        <f t="shared" si="24"/>
        <v>0</v>
      </c>
      <c r="AY82" s="340">
        <f t="shared" si="25"/>
        <v>0</v>
      </c>
      <c r="AZ82" s="340">
        <f t="shared" si="26"/>
        <v>0</v>
      </c>
      <c r="BA82" s="340">
        <f t="shared" si="27"/>
        <v>0</v>
      </c>
      <c r="BB82" s="340">
        <f t="shared" si="28"/>
        <v>0</v>
      </c>
      <c r="BC82" s="340">
        <f t="shared" si="29"/>
        <v>0</v>
      </c>
      <c r="BD82" s="340">
        <f t="shared" si="30"/>
        <v>562</v>
      </c>
      <c r="BE82" s="340">
        <f t="shared" si="31"/>
        <v>0</v>
      </c>
      <c r="BF82" s="340">
        <f t="shared" si="32"/>
        <v>0</v>
      </c>
      <c r="BG82" s="340">
        <f t="shared" si="33"/>
        <v>0</v>
      </c>
      <c r="BH82" s="339" t="str">
        <f t="shared" si="34"/>
        <v/>
      </c>
      <c r="BI82" s="340" t="str">
        <f t="shared" si="35"/>
        <v/>
      </c>
      <c r="BJ82" s="340" t="str">
        <f t="shared" si="36"/>
        <v/>
      </c>
      <c r="BK82" s="340" t="str">
        <f t="shared" si="37"/>
        <v/>
      </c>
      <c r="BL82" s="340" t="str">
        <f t="shared" si="38"/>
        <v/>
      </c>
      <c r="BM82" s="340" t="str">
        <f t="shared" si="39"/>
        <v/>
      </c>
      <c r="BN82" s="340" t="str">
        <f t="shared" si="40"/>
        <v/>
      </c>
      <c r="BO82" s="340" t="str">
        <f t="shared" si="41"/>
        <v/>
      </c>
      <c r="BP82" s="340" t="str">
        <f t="shared" si="42"/>
        <v/>
      </c>
      <c r="BQ82" s="340">
        <f t="shared" si="43"/>
        <v>65</v>
      </c>
      <c r="BR82" s="340" t="str">
        <f t="shared" si="44"/>
        <v/>
      </c>
      <c r="BS82" s="340" t="str">
        <f t="shared" si="45"/>
        <v/>
      </c>
      <c r="BT82" s="341" t="str">
        <f t="shared" si="46"/>
        <v/>
      </c>
      <c r="BU82" s="324"/>
    </row>
    <row r="83" spans="1:73" s="342" customFormat="1">
      <c r="A83" s="324"/>
      <c r="B83" s="324"/>
      <c r="C83" s="570"/>
      <c r="D83" s="572"/>
      <c r="E83" s="572"/>
      <c r="F83" s="327">
        <f t="shared" si="0"/>
        <v>0</v>
      </c>
      <c r="G83" s="570"/>
      <c r="H83" s="572"/>
      <c r="I83" s="572"/>
      <c r="J83" s="327">
        <f t="shared" si="1"/>
        <v>0</v>
      </c>
      <c r="K83" s="343">
        <f t="shared" si="2"/>
        <v>0</v>
      </c>
      <c r="L83" s="570"/>
      <c r="M83" s="570"/>
      <c r="N83" s="345">
        <f t="shared" si="3"/>
        <v>0</v>
      </c>
      <c r="O83" s="345">
        <v>109</v>
      </c>
      <c r="P83" s="346">
        <f t="shared" si="4"/>
        <v>0</v>
      </c>
      <c r="Q83" s="332" t="str">
        <f t="shared" si="5"/>
        <v/>
      </c>
      <c r="R83" s="332" t="str">
        <f t="shared" si="6"/>
        <v/>
      </c>
      <c r="S83" s="333" t="str">
        <f t="shared" si="7"/>
        <v/>
      </c>
      <c r="T83" s="333" t="str">
        <f t="shared" si="8"/>
        <v/>
      </c>
      <c r="U83" s="333" t="str">
        <f t="shared" si="9"/>
        <v/>
      </c>
      <c r="V83" s="333" t="str">
        <f t="shared" si="10"/>
        <v/>
      </c>
      <c r="W83" s="333" t="str">
        <f t="shared" si="11"/>
        <v/>
      </c>
      <c r="X83" s="333" t="str">
        <f t="shared" si="12"/>
        <v/>
      </c>
      <c r="Y83" s="333" t="str">
        <f t="shared" si="13"/>
        <v/>
      </c>
      <c r="Z83" s="333" t="str">
        <f t="shared" si="14"/>
        <v/>
      </c>
      <c r="AA83" s="333" t="str">
        <f t="shared" si="15"/>
        <v/>
      </c>
      <c r="AB83" s="333" t="str">
        <f t="shared" si="16"/>
        <v/>
      </c>
      <c r="AC83" s="334" t="str">
        <f t="shared" si="71"/>
        <v/>
      </c>
      <c r="AD83" s="335"/>
      <c r="AE83" s="336">
        <f t="shared" si="18"/>
        <v>0</v>
      </c>
      <c r="AF83" s="337">
        <f t="shared" si="19"/>
        <v>0</v>
      </c>
      <c r="AG83" s="338">
        <f t="shared" si="20"/>
        <v>0</v>
      </c>
      <c r="AH83" s="339">
        <v>204</v>
      </c>
      <c r="AI83" s="340">
        <v>240</v>
      </c>
      <c r="AJ83" s="340">
        <v>271</v>
      </c>
      <c r="AK83" s="340">
        <v>285</v>
      </c>
      <c r="AL83" s="340">
        <v>289</v>
      </c>
      <c r="AM83" s="340">
        <v>291</v>
      </c>
      <c r="AN83" s="340">
        <v>318</v>
      </c>
      <c r="AO83" s="340">
        <v>336</v>
      </c>
      <c r="AP83" s="340">
        <v>380</v>
      </c>
      <c r="AQ83" s="340">
        <v>460</v>
      </c>
      <c r="AR83" s="340">
        <v>510</v>
      </c>
      <c r="AS83" s="340">
        <v>609</v>
      </c>
      <c r="AT83" s="341">
        <v>669</v>
      </c>
      <c r="AU83" s="339">
        <f t="shared" si="21"/>
        <v>0</v>
      </c>
      <c r="AV83" s="340">
        <f t="shared" si="22"/>
        <v>0</v>
      </c>
      <c r="AW83" s="340">
        <f t="shared" si="23"/>
        <v>0</v>
      </c>
      <c r="AX83" s="340">
        <f t="shared" si="24"/>
        <v>0</v>
      </c>
      <c r="AY83" s="340">
        <f t="shared" si="25"/>
        <v>0</v>
      </c>
      <c r="AZ83" s="340">
        <f t="shared" si="26"/>
        <v>0</v>
      </c>
      <c r="BA83" s="340">
        <f t="shared" si="27"/>
        <v>0</v>
      </c>
      <c r="BB83" s="340">
        <f t="shared" si="28"/>
        <v>0</v>
      </c>
      <c r="BC83" s="340">
        <f t="shared" si="29"/>
        <v>0</v>
      </c>
      <c r="BD83" s="340">
        <f t="shared" si="30"/>
        <v>0</v>
      </c>
      <c r="BE83" s="340">
        <f t="shared" si="31"/>
        <v>0</v>
      </c>
      <c r="BF83" s="340">
        <f t="shared" si="32"/>
        <v>0</v>
      </c>
      <c r="BG83" s="340">
        <f t="shared" si="33"/>
        <v>0</v>
      </c>
      <c r="BH83" s="339" t="str">
        <f t="shared" si="34"/>
        <v/>
      </c>
      <c r="BI83" s="340" t="str">
        <f t="shared" si="35"/>
        <v/>
      </c>
      <c r="BJ83" s="340" t="str">
        <f t="shared" si="36"/>
        <v/>
      </c>
      <c r="BK83" s="340" t="str">
        <f t="shared" si="37"/>
        <v/>
      </c>
      <c r="BL83" s="340" t="str">
        <f t="shared" si="38"/>
        <v/>
      </c>
      <c r="BM83" s="340" t="str">
        <f t="shared" si="39"/>
        <v/>
      </c>
      <c r="BN83" s="340" t="str">
        <f t="shared" si="40"/>
        <v/>
      </c>
      <c r="BO83" s="340" t="str">
        <f t="shared" si="41"/>
        <v/>
      </c>
      <c r="BP83" s="340" t="str">
        <f t="shared" si="42"/>
        <v/>
      </c>
      <c r="BQ83" s="340" t="str">
        <f t="shared" si="43"/>
        <v/>
      </c>
      <c r="BR83" s="340" t="str">
        <f t="shared" si="44"/>
        <v/>
      </c>
      <c r="BS83" s="340" t="str">
        <f t="shared" si="45"/>
        <v/>
      </c>
      <c r="BT83" s="341" t="str">
        <f t="shared" si="46"/>
        <v/>
      </c>
      <c r="BU83" s="324"/>
    </row>
    <row r="84" spans="1:73" s="342" customFormat="1">
      <c r="A84" s="324"/>
      <c r="B84" s="324"/>
      <c r="C84" s="570" t="s">
        <v>532</v>
      </c>
      <c r="D84" s="572">
        <v>10.9</v>
      </c>
      <c r="E84" s="572">
        <v>9.3670000000000009</v>
      </c>
      <c r="F84" s="327">
        <f t="shared" si="0"/>
        <v>1.5329999999999995</v>
      </c>
      <c r="G84" s="570" t="s">
        <v>149</v>
      </c>
      <c r="H84" s="572">
        <v>11.05</v>
      </c>
      <c r="I84" s="572">
        <v>9.2729999999999997</v>
      </c>
      <c r="J84" s="327">
        <f t="shared" si="1"/>
        <v>1.777000000000001</v>
      </c>
      <c r="K84" s="343">
        <f t="shared" si="2"/>
        <v>1.75</v>
      </c>
      <c r="L84" s="570">
        <v>16</v>
      </c>
      <c r="M84" s="570">
        <v>300</v>
      </c>
      <c r="N84" s="345">
        <f t="shared" si="3"/>
        <v>219</v>
      </c>
      <c r="O84" s="345">
        <v>109</v>
      </c>
      <c r="P84" s="346">
        <f t="shared" si="4"/>
        <v>110</v>
      </c>
      <c r="Q84" s="332" t="str">
        <f t="shared" si="5"/>
        <v/>
      </c>
      <c r="R84" s="332" t="str">
        <f t="shared" si="6"/>
        <v/>
      </c>
      <c r="S84" s="333">
        <f t="shared" si="7"/>
        <v>1760</v>
      </c>
      <c r="T84" s="333" t="str">
        <f t="shared" si="8"/>
        <v/>
      </c>
      <c r="U84" s="333" t="str">
        <f t="shared" si="9"/>
        <v/>
      </c>
      <c r="V84" s="333" t="str">
        <f t="shared" si="10"/>
        <v/>
      </c>
      <c r="W84" s="333" t="str">
        <f t="shared" si="11"/>
        <v/>
      </c>
      <c r="X84" s="333" t="str">
        <f t="shared" si="12"/>
        <v/>
      </c>
      <c r="Y84" s="333" t="str">
        <f t="shared" si="13"/>
        <v/>
      </c>
      <c r="Z84" s="333" t="str">
        <f t="shared" si="14"/>
        <v/>
      </c>
      <c r="AA84" s="333" t="str">
        <f t="shared" si="15"/>
        <v/>
      </c>
      <c r="AB84" s="333" t="str">
        <f t="shared" si="16"/>
        <v/>
      </c>
      <c r="AC84" s="334" t="str">
        <f t="shared" si="71"/>
        <v/>
      </c>
      <c r="AD84" s="335"/>
      <c r="AE84" s="336">
        <f t="shared" si="18"/>
        <v>1.1304000000000001</v>
      </c>
      <c r="AF84" s="337">
        <f t="shared" si="19"/>
        <v>15.600000000000001</v>
      </c>
      <c r="AG84" s="338">
        <f t="shared" si="20"/>
        <v>16.740000000000002</v>
      </c>
      <c r="AH84" s="339">
        <v>165</v>
      </c>
      <c r="AI84" s="340">
        <v>195</v>
      </c>
      <c r="AJ84" s="340">
        <v>219</v>
      </c>
      <c r="AK84" s="340">
        <v>225</v>
      </c>
      <c r="AL84" s="340">
        <v>247</v>
      </c>
      <c r="AM84" s="340">
        <v>242</v>
      </c>
      <c r="AN84" s="340">
        <v>267</v>
      </c>
      <c r="AO84" s="340">
        <v>285</v>
      </c>
      <c r="AP84" s="340">
        <v>317</v>
      </c>
      <c r="AQ84" s="340">
        <v>397</v>
      </c>
      <c r="AR84" s="340">
        <v>447</v>
      </c>
      <c r="AS84" s="340">
        <v>560</v>
      </c>
      <c r="AT84" s="341">
        <v>620</v>
      </c>
      <c r="AU84" s="339">
        <f t="shared" si="21"/>
        <v>0</v>
      </c>
      <c r="AV84" s="340">
        <f t="shared" si="22"/>
        <v>0</v>
      </c>
      <c r="AW84" s="340">
        <f t="shared" si="23"/>
        <v>219</v>
      </c>
      <c r="AX84" s="340">
        <f t="shared" si="24"/>
        <v>0</v>
      </c>
      <c r="AY84" s="340">
        <f t="shared" si="25"/>
        <v>0</v>
      </c>
      <c r="AZ84" s="340">
        <f t="shared" si="26"/>
        <v>0</v>
      </c>
      <c r="BA84" s="340">
        <f t="shared" si="27"/>
        <v>0</v>
      </c>
      <c r="BB84" s="340">
        <f t="shared" si="28"/>
        <v>0</v>
      </c>
      <c r="BC84" s="340">
        <f t="shared" si="29"/>
        <v>0</v>
      </c>
      <c r="BD84" s="340">
        <f t="shared" si="30"/>
        <v>0</v>
      </c>
      <c r="BE84" s="340">
        <f t="shared" si="31"/>
        <v>0</v>
      </c>
      <c r="BF84" s="340">
        <f t="shared" si="32"/>
        <v>0</v>
      </c>
      <c r="BG84" s="340">
        <f t="shared" si="33"/>
        <v>0</v>
      </c>
      <c r="BH84" s="339" t="str">
        <f t="shared" si="34"/>
        <v/>
      </c>
      <c r="BI84" s="340" t="str">
        <f t="shared" si="35"/>
        <v/>
      </c>
      <c r="BJ84" s="340">
        <f t="shared" si="36"/>
        <v>16</v>
      </c>
      <c r="BK84" s="340" t="str">
        <f t="shared" si="37"/>
        <v/>
      </c>
      <c r="BL84" s="340" t="str">
        <f t="shared" si="38"/>
        <v/>
      </c>
      <c r="BM84" s="340" t="str">
        <f t="shared" si="39"/>
        <v/>
      </c>
      <c r="BN84" s="340" t="str">
        <f t="shared" si="40"/>
        <v/>
      </c>
      <c r="BO84" s="340" t="str">
        <f t="shared" si="41"/>
        <v/>
      </c>
      <c r="BP84" s="340" t="str">
        <f t="shared" si="42"/>
        <v/>
      </c>
      <c r="BQ84" s="340" t="str">
        <f t="shared" si="43"/>
        <v/>
      </c>
      <c r="BR84" s="340" t="str">
        <f t="shared" si="44"/>
        <v/>
      </c>
      <c r="BS84" s="340" t="str">
        <f t="shared" si="45"/>
        <v/>
      </c>
      <c r="BT84" s="341" t="str">
        <f t="shared" si="46"/>
        <v/>
      </c>
      <c r="BU84" s="324"/>
    </row>
    <row r="85" spans="1:73" s="342" customFormat="1">
      <c r="A85" s="324"/>
      <c r="B85" s="324"/>
      <c r="C85" s="570" t="s">
        <v>149</v>
      </c>
      <c r="D85" s="572">
        <v>11.05</v>
      </c>
      <c r="E85" s="572">
        <v>9.2729999999999997</v>
      </c>
      <c r="F85" s="327">
        <f t="shared" si="0"/>
        <v>1.777000000000001</v>
      </c>
      <c r="G85" s="570" t="s">
        <v>148</v>
      </c>
      <c r="H85" s="572">
        <v>10.8</v>
      </c>
      <c r="I85" s="572">
        <v>9.141</v>
      </c>
      <c r="J85" s="327">
        <f t="shared" si="1"/>
        <v>1.6590000000000007</v>
      </c>
      <c r="K85" s="343">
        <f t="shared" si="2"/>
        <v>1.75</v>
      </c>
      <c r="L85" s="570">
        <v>23</v>
      </c>
      <c r="M85" s="570">
        <v>300</v>
      </c>
      <c r="N85" s="345">
        <f t="shared" si="3"/>
        <v>219</v>
      </c>
      <c r="O85" s="345">
        <v>109</v>
      </c>
      <c r="P85" s="346">
        <f t="shared" si="4"/>
        <v>110</v>
      </c>
      <c r="Q85" s="332" t="str">
        <f t="shared" si="5"/>
        <v/>
      </c>
      <c r="R85" s="332" t="str">
        <f t="shared" si="6"/>
        <v/>
      </c>
      <c r="S85" s="333">
        <f t="shared" si="7"/>
        <v>2530</v>
      </c>
      <c r="T85" s="333" t="str">
        <f t="shared" si="8"/>
        <v/>
      </c>
      <c r="U85" s="333" t="str">
        <f t="shared" si="9"/>
        <v/>
      </c>
      <c r="V85" s="333" t="str">
        <f t="shared" si="10"/>
        <v/>
      </c>
      <c r="W85" s="333" t="str">
        <f t="shared" si="11"/>
        <v/>
      </c>
      <c r="X85" s="333" t="str">
        <f t="shared" si="12"/>
        <v/>
      </c>
      <c r="Y85" s="333" t="str">
        <f t="shared" si="13"/>
        <v/>
      </c>
      <c r="Z85" s="333" t="str">
        <f t="shared" si="14"/>
        <v/>
      </c>
      <c r="AA85" s="333" t="str">
        <f t="shared" si="15"/>
        <v/>
      </c>
      <c r="AB85" s="333" t="str">
        <f t="shared" si="16"/>
        <v/>
      </c>
      <c r="AC85" s="334" t="str">
        <f t="shared" si="71"/>
        <v/>
      </c>
      <c r="AD85" s="335"/>
      <c r="AE85" s="336">
        <f t="shared" si="18"/>
        <v>1.6249500000000001</v>
      </c>
      <c r="AF85" s="337">
        <f t="shared" si="19"/>
        <v>22.425000000000001</v>
      </c>
      <c r="AG85" s="338">
        <f t="shared" si="20"/>
        <v>24.063750000000002</v>
      </c>
      <c r="AH85" s="339">
        <v>165</v>
      </c>
      <c r="AI85" s="340">
        <v>195</v>
      </c>
      <c r="AJ85" s="340">
        <v>219</v>
      </c>
      <c r="AK85" s="340">
        <v>225</v>
      </c>
      <c r="AL85" s="340">
        <v>247</v>
      </c>
      <c r="AM85" s="340">
        <v>242</v>
      </c>
      <c r="AN85" s="340">
        <v>267</v>
      </c>
      <c r="AO85" s="340">
        <v>285</v>
      </c>
      <c r="AP85" s="340">
        <v>317</v>
      </c>
      <c r="AQ85" s="340">
        <v>397</v>
      </c>
      <c r="AR85" s="340">
        <v>447</v>
      </c>
      <c r="AS85" s="340">
        <v>560</v>
      </c>
      <c r="AT85" s="341">
        <v>620</v>
      </c>
      <c r="AU85" s="339">
        <f t="shared" si="21"/>
        <v>0</v>
      </c>
      <c r="AV85" s="340">
        <f t="shared" si="22"/>
        <v>0</v>
      </c>
      <c r="AW85" s="340">
        <f t="shared" si="23"/>
        <v>219</v>
      </c>
      <c r="AX85" s="340">
        <f t="shared" si="24"/>
        <v>0</v>
      </c>
      <c r="AY85" s="340">
        <f t="shared" si="25"/>
        <v>0</v>
      </c>
      <c r="AZ85" s="340">
        <f t="shared" si="26"/>
        <v>0</v>
      </c>
      <c r="BA85" s="340">
        <f t="shared" si="27"/>
        <v>0</v>
      </c>
      <c r="BB85" s="340">
        <f t="shared" si="28"/>
        <v>0</v>
      </c>
      <c r="BC85" s="340">
        <f t="shared" si="29"/>
        <v>0</v>
      </c>
      <c r="BD85" s="340">
        <f t="shared" si="30"/>
        <v>0</v>
      </c>
      <c r="BE85" s="340">
        <f t="shared" si="31"/>
        <v>0</v>
      </c>
      <c r="BF85" s="340">
        <f t="shared" si="32"/>
        <v>0</v>
      </c>
      <c r="BG85" s="340">
        <f t="shared" si="33"/>
        <v>0</v>
      </c>
      <c r="BH85" s="339" t="str">
        <f t="shared" si="34"/>
        <v/>
      </c>
      <c r="BI85" s="340" t="str">
        <f t="shared" si="35"/>
        <v/>
      </c>
      <c r="BJ85" s="340">
        <f t="shared" si="36"/>
        <v>23</v>
      </c>
      <c r="BK85" s="340" t="str">
        <f t="shared" si="37"/>
        <v/>
      </c>
      <c r="BL85" s="340" t="str">
        <f t="shared" si="38"/>
        <v/>
      </c>
      <c r="BM85" s="340" t="str">
        <f t="shared" si="39"/>
        <v/>
      </c>
      <c r="BN85" s="340" t="str">
        <f t="shared" si="40"/>
        <v/>
      </c>
      <c r="BO85" s="340" t="str">
        <f t="shared" si="41"/>
        <v/>
      </c>
      <c r="BP85" s="340" t="str">
        <f t="shared" si="42"/>
        <v/>
      </c>
      <c r="BQ85" s="340" t="str">
        <f t="shared" si="43"/>
        <v/>
      </c>
      <c r="BR85" s="340" t="str">
        <f t="shared" si="44"/>
        <v/>
      </c>
      <c r="BS85" s="340" t="str">
        <f t="shared" si="45"/>
        <v/>
      </c>
      <c r="BT85" s="341" t="str">
        <f t="shared" si="46"/>
        <v/>
      </c>
      <c r="BU85" s="324"/>
    </row>
    <row r="86" spans="1:73" s="342" customFormat="1">
      <c r="A86" s="324"/>
      <c r="B86" s="324"/>
      <c r="C86" s="570" t="s">
        <v>148</v>
      </c>
      <c r="D86" s="572">
        <v>10.8</v>
      </c>
      <c r="E86" s="572">
        <v>9.141</v>
      </c>
      <c r="F86" s="327">
        <f t="shared" si="0"/>
        <v>1.6590000000000007</v>
      </c>
      <c r="G86" s="570" t="s">
        <v>143</v>
      </c>
      <c r="H86" s="572">
        <v>10.55</v>
      </c>
      <c r="I86" s="572">
        <v>8.3320000000000007</v>
      </c>
      <c r="J86" s="327">
        <f t="shared" si="1"/>
        <v>2.218</v>
      </c>
      <c r="K86" s="343">
        <f t="shared" si="2"/>
        <v>2</v>
      </c>
      <c r="L86" s="570">
        <v>36</v>
      </c>
      <c r="M86" s="570">
        <v>300</v>
      </c>
      <c r="N86" s="345">
        <f t="shared" si="3"/>
        <v>160</v>
      </c>
      <c r="O86" s="345">
        <v>109</v>
      </c>
      <c r="P86" s="346">
        <f t="shared" si="4"/>
        <v>51</v>
      </c>
      <c r="Q86" s="332" t="str">
        <f t="shared" si="5"/>
        <v/>
      </c>
      <c r="R86" s="332" t="str">
        <f t="shared" si="6"/>
        <v/>
      </c>
      <c r="S86" s="333">
        <f t="shared" si="7"/>
        <v>1836</v>
      </c>
      <c r="T86" s="333" t="str">
        <f t="shared" si="8"/>
        <v/>
      </c>
      <c r="U86" s="333" t="str">
        <f t="shared" si="9"/>
        <v/>
      </c>
      <c r="V86" s="333" t="str">
        <f t="shared" si="10"/>
        <v/>
      </c>
      <c r="W86" s="333" t="str">
        <f t="shared" si="11"/>
        <v/>
      </c>
      <c r="X86" s="333" t="str">
        <f t="shared" si="12"/>
        <v/>
      </c>
      <c r="Y86" s="333" t="str">
        <f t="shared" si="13"/>
        <v/>
      </c>
      <c r="Z86" s="333" t="str">
        <f t="shared" si="14"/>
        <v/>
      </c>
      <c r="AA86" s="333" t="str">
        <f t="shared" si="15"/>
        <v/>
      </c>
      <c r="AB86" s="333" t="str">
        <f t="shared" si="16"/>
        <v/>
      </c>
      <c r="AC86" s="334" t="str">
        <f t="shared" si="71"/>
        <v/>
      </c>
      <c r="AD86" s="335"/>
      <c r="AE86" s="336">
        <f t="shared" si="18"/>
        <v>2.5434000000000001</v>
      </c>
      <c r="AF86" s="337">
        <f t="shared" si="19"/>
        <v>41.85</v>
      </c>
      <c r="AG86" s="338">
        <f t="shared" si="20"/>
        <v>37.665000000000006</v>
      </c>
      <c r="AH86" s="339">
        <v>115</v>
      </c>
      <c r="AI86" s="340">
        <v>141</v>
      </c>
      <c r="AJ86" s="340">
        <v>160</v>
      </c>
      <c r="AK86" s="340">
        <v>195</v>
      </c>
      <c r="AL86" s="340">
        <v>205</v>
      </c>
      <c r="AM86" s="340">
        <v>197</v>
      </c>
      <c r="AN86" s="340">
        <v>216</v>
      </c>
      <c r="AO86" s="340">
        <v>234</v>
      </c>
      <c r="AP86" s="340">
        <v>264</v>
      </c>
      <c r="AQ86" s="340">
        <v>344</v>
      </c>
      <c r="AR86" s="340">
        <v>394</v>
      </c>
      <c r="AS86" s="340">
        <v>428</v>
      </c>
      <c r="AT86" s="341">
        <v>488</v>
      </c>
      <c r="AU86" s="339">
        <f t="shared" si="21"/>
        <v>0</v>
      </c>
      <c r="AV86" s="340">
        <f t="shared" si="22"/>
        <v>0</v>
      </c>
      <c r="AW86" s="340">
        <f t="shared" si="23"/>
        <v>160</v>
      </c>
      <c r="AX86" s="340">
        <f t="shared" si="24"/>
        <v>0</v>
      </c>
      <c r="AY86" s="340">
        <f t="shared" si="25"/>
        <v>0</v>
      </c>
      <c r="AZ86" s="340">
        <f t="shared" si="26"/>
        <v>0</v>
      </c>
      <c r="BA86" s="340">
        <f t="shared" si="27"/>
        <v>0</v>
      </c>
      <c r="BB86" s="340">
        <f t="shared" si="28"/>
        <v>0</v>
      </c>
      <c r="BC86" s="340">
        <f t="shared" si="29"/>
        <v>0</v>
      </c>
      <c r="BD86" s="340">
        <f t="shared" si="30"/>
        <v>0</v>
      </c>
      <c r="BE86" s="340">
        <f t="shared" si="31"/>
        <v>0</v>
      </c>
      <c r="BF86" s="340">
        <f t="shared" si="32"/>
        <v>0</v>
      </c>
      <c r="BG86" s="340">
        <f t="shared" si="33"/>
        <v>0</v>
      </c>
      <c r="BH86" s="339" t="str">
        <f t="shared" si="34"/>
        <v/>
      </c>
      <c r="BI86" s="340" t="str">
        <f t="shared" si="35"/>
        <v/>
      </c>
      <c r="BJ86" s="340">
        <f t="shared" si="36"/>
        <v>36</v>
      </c>
      <c r="BK86" s="340" t="str">
        <f t="shared" si="37"/>
        <v/>
      </c>
      <c r="BL86" s="340" t="str">
        <f t="shared" si="38"/>
        <v/>
      </c>
      <c r="BM86" s="340" t="str">
        <f t="shared" si="39"/>
        <v/>
      </c>
      <c r="BN86" s="340" t="str">
        <f t="shared" si="40"/>
        <v/>
      </c>
      <c r="BO86" s="340" t="str">
        <f t="shared" si="41"/>
        <v/>
      </c>
      <c r="BP86" s="340" t="str">
        <f t="shared" si="42"/>
        <v/>
      </c>
      <c r="BQ86" s="340" t="str">
        <f t="shared" si="43"/>
        <v/>
      </c>
      <c r="BR86" s="340" t="str">
        <f t="shared" si="44"/>
        <v/>
      </c>
      <c r="BS86" s="340" t="str">
        <f t="shared" si="45"/>
        <v/>
      </c>
      <c r="BT86" s="341" t="str">
        <f t="shared" si="46"/>
        <v/>
      </c>
      <c r="BU86" s="324"/>
    </row>
    <row r="87" spans="1:73" s="342" customFormat="1">
      <c r="A87" s="324"/>
      <c r="B87" s="324"/>
      <c r="C87" s="570"/>
      <c r="D87" s="572"/>
      <c r="E87" s="572"/>
      <c r="F87" s="327">
        <f t="shared" si="0"/>
        <v>0</v>
      </c>
      <c r="G87" s="570"/>
      <c r="H87" s="572"/>
      <c r="I87" s="572"/>
      <c r="J87" s="327">
        <f t="shared" si="1"/>
        <v>0</v>
      </c>
      <c r="K87" s="343">
        <f t="shared" si="2"/>
        <v>0</v>
      </c>
      <c r="L87" s="570"/>
      <c r="M87" s="570"/>
      <c r="N87" s="345">
        <f t="shared" si="3"/>
        <v>0</v>
      </c>
      <c r="O87" s="345">
        <v>0</v>
      </c>
      <c r="P87" s="346">
        <f t="shared" si="4"/>
        <v>0</v>
      </c>
      <c r="Q87" s="332" t="str">
        <f t="shared" si="5"/>
        <v/>
      </c>
      <c r="R87" s="332" t="str">
        <f t="shared" si="6"/>
        <v/>
      </c>
      <c r="S87" s="333" t="str">
        <f t="shared" si="7"/>
        <v/>
      </c>
      <c r="T87" s="333" t="str">
        <f t="shared" si="8"/>
        <v/>
      </c>
      <c r="U87" s="333" t="str">
        <f t="shared" si="9"/>
        <v/>
      </c>
      <c r="V87" s="333" t="str">
        <f t="shared" si="10"/>
        <v/>
      </c>
      <c r="W87" s="333" t="str">
        <f t="shared" si="11"/>
        <v/>
      </c>
      <c r="X87" s="333" t="str">
        <f t="shared" si="12"/>
        <v/>
      </c>
      <c r="Y87" s="333" t="str">
        <f t="shared" si="13"/>
        <v/>
      </c>
      <c r="Z87" s="333" t="str">
        <f t="shared" si="14"/>
        <v/>
      </c>
      <c r="AA87" s="333" t="str">
        <f t="shared" si="15"/>
        <v/>
      </c>
      <c r="AB87" s="333" t="str">
        <f t="shared" si="16"/>
        <v/>
      </c>
      <c r="AC87" s="334" t="str">
        <f t="shared" ref="AC87:AC112" si="72">IF($M87=$AC$7,$L87*$P87,"")</f>
        <v/>
      </c>
      <c r="AD87" s="335"/>
      <c r="AE87" s="336">
        <f t="shared" si="18"/>
        <v>0</v>
      </c>
      <c r="AF87" s="337">
        <f t="shared" si="19"/>
        <v>0</v>
      </c>
      <c r="AG87" s="338">
        <f t="shared" si="20"/>
        <v>0</v>
      </c>
      <c r="AH87" s="339">
        <v>0</v>
      </c>
      <c r="AI87" s="340">
        <v>0</v>
      </c>
      <c r="AJ87" s="340">
        <v>0</v>
      </c>
      <c r="AK87" s="340">
        <v>0</v>
      </c>
      <c r="AL87" s="340">
        <v>0</v>
      </c>
      <c r="AM87" s="340">
        <v>0</v>
      </c>
      <c r="AN87" s="340">
        <v>0</v>
      </c>
      <c r="AO87" s="340">
        <v>0</v>
      </c>
      <c r="AP87" s="340">
        <v>0</v>
      </c>
      <c r="AQ87" s="340">
        <v>0</v>
      </c>
      <c r="AR87" s="340">
        <v>0</v>
      </c>
      <c r="AS87" s="340">
        <v>0</v>
      </c>
      <c r="AT87" s="341">
        <v>0</v>
      </c>
      <c r="AU87" s="339">
        <f t="shared" si="21"/>
        <v>0</v>
      </c>
      <c r="AV87" s="340">
        <f t="shared" si="22"/>
        <v>0</v>
      </c>
      <c r="AW87" s="340">
        <f t="shared" si="23"/>
        <v>0</v>
      </c>
      <c r="AX87" s="340">
        <f t="shared" si="24"/>
        <v>0</v>
      </c>
      <c r="AY87" s="340">
        <f t="shared" si="25"/>
        <v>0</v>
      </c>
      <c r="AZ87" s="340">
        <f t="shared" si="26"/>
        <v>0</v>
      </c>
      <c r="BA87" s="340">
        <f t="shared" si="27"/>
        <v>0</v>
      </c>
      <c r="BB87" s="340">
        <f t="shared" si="28"/>
        <v>0</v>
      </c>
      <c r="BC87" s="340">
        <f t="shared" si="29"/>
        <v>0</v>
      </c>
      <c r="BD87" s="340">
        <f t="shared" si="30"/>
        <v>0</v>
      </c>
      <c r="BE87" s="340">
        <f t="shared" si="31"/>
        <v>0</v>
      </c>
      <c r="BF87" s="340">
        <f t="shared" si="32"/>
        <v>0</v>
      </c>
      <c r="BG87" s="340">
        <f t="shared" si="33"/>
        <v>0</v>
      </c>
      <c r="BH87" s="339" t="str">
        <f t="shared" si="34"/>
        <v/>
      </c>
      <c r="BI87" s="340" t="str">
        <f t="shared" si="35"/>
        <v/>
      </c>
      <c r="BJ87" s="340" t="str">
        <f t="shared" si="36"/>
        <v/>
      </c>
      <c r="BK87" s="340" t="str">
        <f t="shared" si="37"/>
        <v/>
      </c>
      <c r="BL87" s="340" t="str">
        <f t="shared" si="38"/>
        <v/>
      </c>
      <c r="BM87" s="340" t="str">
        <f t="shared" si="39"/>
        <v/>
      </c>
      <c r="BN87" s="340" t="str">
        <f t="shared" si="40"/>
        <v/>
      </c>
      <c r="BO87" s="340" t="str">
        <f t="shared" si="41"/>
        <v/>
      </c>
      <c r="BP87" s="340" t="str">
        <f t="shared" si="42"/>
        <v/>
      </c>
      <c r="BQ87" s="340" t="str">
        <f t="shared" si="43"/>
        <v/>
      </c>
      <c r="BR87" s="340" t="str">
        <f t="shared" si="44"/>
        <v/>
      </c>
      <c r="BS87" s="340" t="str">
        <f t="shared" si="45"/>
        <v/>
      </c>
      <c r="BT87" s="341" t="str">
        <f t="shared" si="46"/>
        <v/>
      </c>
      <c r="BU87" s="324"/>
    </row>
    <row r="88" spans="1:73" s="342" customFormat="1">
      <c r="A88" s="324"/>
      <c r="B88" s="324"/>
      <c r="C88" s="570" t="s">
        <v>143</v>
      </c>
      <c r="D88" s="572">
        <v>10.55</v>
      </c>
      <c r="E88" s="572">
        <v>8.3320000000000007</v>
      </c>
      <c r="F88" s="327">
        <f t="shared" si="0"/>
        <v>2.218</v>
      </c>
      <c r="G88" s="570" t="s">
        <v>531</v>
      </c>
      <c r="H88" s="572">
        <v>10.3</v>
      </c>
      <c r="I88" s="572">
        <v>8.2520000000000007</v>
      </c>
      <c r="J88" s="327">
        <f t="shared" si="1"/>
        <v>2.048</v>
      </c>
      <c r="K88" s="343">
        <f t="shared" si="2"/>
        <v>2.25</v>
      </c>
      <c r="L88" s="570">
        <v>32</v>
      </c>
      <c r="M88" s="570">
        <v>900</v>
      </c>
      <c r="N88" s="345">
        <f t="shared" si="3"/>
        <v>630</v>
      </c>
      <c r="O88" s="345">
        <v>109</v>
      </c>
      <c r="P88" s="346">
        <f t="shared" si="4"/>
        <v>521</v>
      </c>
      <c r="Q88" s="332" t="str">
        <f t="shared" si="5"/>
        <v/>
      </c>
      <c r="R88" s="332" t="str">
        <f t="shared" si="6"/>
        <v/>
      </c>
      <c r="S88" s="333" t="str">
        <f t="shared" si="7"/>
        <v/>
      </c>
      <c r="T88" s="333" t="str">
        <f t="shared" si="8"/>
        <v/>
      </c>
      <c r="U88" s="333" t="str">
        <f t="shared" si="9"/>
        <v/>
      </c>
      <c r="V88" s="333" t="str">
        <f t="shared" si="10"/>
        <v/>
      </c>
      <c r="W88" s="333" t="str">
        <f t="shared" si="11"/>
        <v/>
      </c>
      <c r="X88" s="333" t="str">
        <f t="shared" si="12"/>
        <v/>
      </c>
      <c r="Y88" s="333" t="str">
        <f t="shared" si="13"/>
        <v/>
      </c>
      <c r="Z88" s="333">
        <f t="shared" si="14"/>
        <v>16672</v>
      </c>
      <c r="AA88" s="333" t="str">
        <f t="shared" si="15"/>
        <v/>
      </c>
      <c r="AB88" s="333" t="str">
        <f t="shared" si="16"/>
        <v/>
      </c>
      <c r="AC88" s="334" t="str">
        <f t="shared" si="72"/>
        <v/>
      </c>
      <c r="AD88" s="335"/>
      <c r="AE88" s="336">
        <f t="shared" si="18"/>
        <v>20.347200000000001</v>
      </c>
      <c r="AF88" s="337">
        <f t="shared" si="19"/>
        <v>77.760000000000005</v>
      </c>
      <c r="AG88" s="338">
        <f t="shared" si="20"/>
        <v>33.480000000000004</v>
      </c>
      <c r="AH88" s="339">
        <v>394</v>
      </c>
      <c r="AI88" s="340">
        <v>416</v>
      </c>
      <c r="AJ88" s="340">
        <v>0</v>
      </c>
      <c r="AK88" s="340">
        <v>0</v>
      </c>
      <c r="AL88" s="340">
        <v>0</v>
      </c>
      <c r="AM88" s="340">
        <v>0</v>
      </c>
      <c r="AN88" s="340">
        <v>488</v>
      </c>
      <c r="AO88" s="340">
        <v>506</v>
      </c>
      <c r="AP88" s="340">
        <v>550</v>
      </c>
      <c r="AQ88" s="340">
        <v>630</v>
      </c>
      <c r="AR88" s="340">
        <v>680</v>
      </c>
      <c r="AS88" s="340">
        <v>789</v>
      </c>
      <c r="AT88" s="341">
        <v>849</v>
      </c>
      <c r="AU88" s="339">
        <f t="shared" si="21"/>
        <v>0</v>
      </c>
      <c r="AV88" s="340">
        <f t="shared" si="22"/>
        <v>0</v>
      </c>
      <c r="AW88" s="340">
        <f t="shared" si="23"/>
        <v>0</v>
      </c>
      <c r="AX88" s="340">
        <f t="shared" si="24"/>
        <v>0</v>
      </c>
      <c r="AY88" s="340">
        <f t="shared" si="25"/>
        <v>0</v>
      </c>
      <c r="AZ88" s="340">
        <f t="shared" si="26"/>
        <v>0</v>
      </c>
      <c r="BA88" s="340">
        <f t="shared" si="27"/>
        <v>0</v>
      </c>
      <c r="BB88" s="340">
        <f t="shared" si="28"/>
        <v>0</v>
      </c>
      <c r="BC88" s="340">
        <f t="shared" si="29"/>
        <v>0</v>
      </c>
      <c r="BD88" s="340">
        <f t="shared" si="30"/>
        <v>630</v>
      </c>
      <c r="BE88" s="340">
        <f t="shared" si="31"/>
        <v>0</v>
      </c>
      <c r="BF88" s="340">
        <f t="shared" si="32"/>
        <v>0</v>
      </c>
      <c r="BG88" s="340">
        <f t="shared" si="33"/>
        <v>0</v>
      </c>
      <c r="BH88" s="339" t="str">
        <f t="shared" si="34"/>
        <v/>
      </c>
      <c r="BI88" s="340" t="str">
        <f t="shared" si="35"/>
        <v/>
      </c>
      <c r="BJ88" s="340" t="str">
        <f t="shared" si="36"/>
        <v/>
      </c>
      <c r="BK88" s="340" t="str">
        <f t="shared" si="37"/>
        <v/>
      </c>
      <c r="BL88" s="340" t="str">
        <f t="shared" si="38"/>
        <v/>
      </c>
      <c r="BM88" s="340" t="str">
        <f t="shared" si="39"/>
        <v/>
      </c>
      <c r="BN88" s="340" t="str">
        <f t="shared" si="40"/>
        <v/>
      </c>
      <c r="BO88" s="340" t="str">
        <f t="shared" si="41"/>
        <v/>
      </c>
      <c r="BP88" s="340" t="str">
        <f t="shared" si="42"/>
        <v/>
      </c>
      <c r="BQ88" s="340">
        <f t="shared" si="43"/>
        <v>32</v>
      </c>
      <c r="BR88" s="340" t="str">
        <f t="shared" si="44"/>
        <v/>
      </c>
      <c r="BS88" s="340" t="str">
        <f t="shared" si="45"/>
        <v/>
      </c>
      <c r="BT88" s="341" t="str">
        <f t="shared" si="46"/>
        <v/>
      </c>
      <c r="BU88" s="324"/>
    </row>
    <row r="89" spans="1:73" s="342" customFormat="1">
      <c r="A89" s="324"/>
      <c r="B89" s="324"/>
      <c r="C89" s="570" t="s">
        <v>531</v>
      </c>
      <c r="D89" s="572">
        <v>10.3</v>
      </c>
      <c r="E89" s="572">
        <v>8.2520000000000007</v>
      </c>
      <c r="F89" s="327">
        <f t="shared" si="0"/>
        <v>2.048</v>
      </c>
      <c r="G89" s="570" t="s">
        <v>529</v>
      </c>
      <c r="H89" s="572">
        <v>10.45</v>
      </c>
      <c r="I89" s="572">
        <v>8.1769999999999996</v>
      </c>
      <c r="J89" s="327">
        <f t="shared" si="1"/>
        <v>2.2729999999999997</v>
      </c>
      <c r="K89" s="343">
        <f t="shared" si="2"/>
        <v>2.25</v>
      </c>
      <c r="L89" s="570">
        <v>30</v>
      </c>
      <c r="M89" s="570">
        <v>900</v>
      </c>
      <c r="N89" s="345">
        <f t="shared" si="3"/>
        <v>596</v>
      </c>
      <c r="O89" s="345">
        <v>109</v>
      </c>
      <c r="P89" s="346">
        <f t="shared" si="4"/>
        <v>487</v>
      </c>
      <c r="Q89" s="332" t="str">
        <f t="shared" si="5"/>
        <v/>
      </c>
      <c r="R89" s="332" t="str">
        <f t="shared" si="6"/>
        <v/>
      </c>
      <c r="S89" s="333" t="str">
        <f t="shared" si="7"/>
        <v/>
      </c>
      <c r="T89" s="333" t="str">
        <f t="shared" si="8"/>
        <v/>
      </c>
      <c r="U89" s="333" t="str">
        <f t="shared" si="9"/>
        <v/>
      </c>
      <c r="V89" s="333" t="str">
        <f t="shared" si="10"/>
        <v/>
      </c>
      <c r="W89" s="333" t="str">
        <f t="shared" si="11"/>
        <v/>
      </c>
      <c r="X89" s="333" t="str">
        <f t="shared" si="12"/>
        <v/>
      </c>
      <c r="Y89" s="333" t="str">
        <f t="shared" si="13"/>
        <v/>
      </c>
      <c r="Z89" s="333">
        <f t="shared" si="14"/>
        <v>14610</v>
      </c>
      <c r="AA89" s="333" t="str">
        <f t="shared" si="15"/>
        <v/>
      </c>
      <c r="AB89" s="333" t="str">
        <f t="shared" si="16"/>
        <v/>
      </c>
      <c r="AC89" s="334" t="str">
        <f t="shared" si="72"/>
        <v/>
      </c>
      <c r="AD89" s="335"/>
      <c r="AE89" s="336">
        <f t="shared" si="18"/>
        <v>19.075500000000002</v>
      </c>
      <c r="AF89" s="337">
        <f t="shared" si="19"/>
        <v>72.900000000000006</v>
      </c>
      <c r="AG89" s="338">
        <f t="shared" si="20"/>
        <v>31.387500000000003</v>
      </c>
      <c r="AH89" s="339">
        <v>364</v>
      </c>
      <c r="AI89" s="340">
        <v>386</v>
      </c>
      <c r="AJ89" s="340">
        <v>0</v>
      </c>
      <c r="AK89" s="340">
        <v>0</v>
      </c>
      <c r="AL89" s="340">
        <v>0</v>
      </c>
      <c r="AM89" s="340">
        <v>0</v>
      </c>
      <c r="AN89" s="340">
        <v>454</v>
      </c>
      <c r="AO89" s="340">
        <v>472</v>
      </c>
      <c r="AP89" s="340">
        <v>516</v>
      </c>
      <c r="AQ89" s="340">
        <v>596</v>
      </c>
      <c r="AR89" s="340">
        <v>646</v>
      </c>
      <c r="AS89" s="340">
        <v>755</v>
      </c>
      <c r="AT89" s="341">
        <v>815</v>
      </c>
      <c r="AU89" s="339">
        <f t="shared" si="21"/>
        <v>0</v>
      </c>
      <c r="AV89" s="340">
        <f t="shared" si="22"/>
        <v>0</v>
      </c>
      <c r="AW89" s="340">
        <f t="shared" si="23"/>
        <v>0</v>
      </c>
      <c r="AX89" s="340">
        <f t="shared" si="24"/>
        <v>0</v>
      </c>
      <c r="AY89" s="340">
        <f t="shared" si="25"/>
        <v>0</v>
      </c>
      <c r="AZ89" s="340">
        <f t="shared" si="26"/>
        <v>0</v>
      </c>
      <c r="BA89" s="340">
        <f t="shared" si="27"/>
        <v>0</v>
      </c>
      <c r="BB89" s="340">
        <f t="shared" si="28"/>
        <v>0</v>
      </c>
      <c r="BC89" s="340">
        <f t="shared" si="29"/>
        <v>0</v>
      </c>
      <c r="BD89" s="340">
        <f t="shared" si="30"/>
        <v>596</v>
      </c>
      <c r="BE89" s="340">
        <f t="shared" si="31"/>
        <v>0</v>
      </c>
      <c r="BF89" s="340">
        <f t="shared" si="32"/>
        <v>0</v>
      </c>
      <c r="BG89" s="340">
        <f t="shared" si="33"/>
        <v>0</v>
      </c>
      <c r="BH89" s="339" t="str">
        <f t="shared" si="34"/>
        <v/>
      </c>
      <c r="BI89" s="340" t="str">
        <f t="shared" si="35"/>
        <v/>
      </c>
      <c r="BJ89" s="340" t="str">
        <f t="shared" si="36"/>
        <v/>
      </c>
      <c r="BK89" s="340" t="str">
        <f t="shared" si="37"/>
        <v/>
      </c>
      <c r="BL89" s="340" t="str">
        <f t="shared" si="38"/>
        <v/>
      </c>
      <c r="BM89" s="340" t="str">
        <f t="shared" si="39"/>
        <v/>
      </c>
      <c r="BN89" s="340" t="str">
        <f t="shared" si="40"/>
        <v/>
      </c>
      <c r="BO89" s="340" t="str">
        <f t="shared" si="41"/>
        <v/>
      </c>
      <c r="BP89" s="340" t="str">
        <f t="shared" si="42"/>
        <v/>
      </c>
      <c r="BQ89" s="340">
        <f t="shared" si="43"/>
        <v>30</v>
      </c>
      <c r="BR89" s="340" t="str">
        <f t="shared" si="44"/>
        <v/>
      </c>
      <c r="BS89" s="340" t="str">
        <f t="shared" si="45"/>
        <v/>
      </c>
      <c r="BT89" s="341" t="str">
        <f t="shared" si="46"/>
        <v/>
      </c>
      <c r="BU89" s="324"/>
    </row>
    <row r="90" spans="1:73" s="342" customFormat="1">
      <c r="A90" s="324"/>
      <c r="B90" s="324"/>
      <c r="C90" s="570"/>
      <c r="D90" s="572"/>
      <c r="E90" s="572"/>
      <c r="F90" s="327">
        <f t="shared" si="0"/>
        <v>0</v>
      </c>
      <c r="G90" s="570"/>
      <c r="H90" s="572"/>
      <c r="I90" s="572"/>
      <c r="J90" s="327">
        <f t="shared" si="1"/>
        <v>0</v>
      </c>
      <c r="K90" s="343">
        <f t="shared" si="2"/>
        <v>0</v>
      </c>
      <c r="L90" s="570"/>
      <c r="M90" s="570"/>
      <c r="N90" s="345">
        <f t="shared" si="3"/>
        <v>0</v>
      </c>
      <c r="O90" s="345">
        <v>109</v>
      </c>
      <c r="P90" s="346">
        <f t="shared" si="4"/>
        <v>0</v>
      </c>
      <c r="Q90" s="332" t="str">
        <f t="shared" si="5"/>
        <v/>
      </c>
      <c r="R90" s="332" t="str">
        <f t="shared" si="6"/>
        <v/>
      </c>
      <c r="S90" s="333" t="str">
        <f t="shared" si="7"/>
        <v/>
      </c>
      <c r="T90" s="333" t="str">
        <f t="shared" si="8"/>
        <v/>
      </c>
      <c r="U90" s="333" t="str">
        <f t="shared" si="9"/>
        <v/>
      </c>
      <c r="V90" s="333" t="str">
        <f t="shared" si="10"/>
        <v/>
      </c>
      <c r="W90" s="333" t="str">
        <f t="shared" si="11"/>
        <v/>
      </c>
      <c r="X90" s="333" t="str">
        <f t="shared" si="12"/>
        <v/>
      </c>
      <c r="Y90" s="333" t="str">
        <f t="shared" si="13"/>
        <v/>
      </c>
      <c r="Z90" s="333" t="str">
        <f t="shared" si="14"/>
        <v/>
      </c>
      <c r="AA90" s="333" t="str">
        <f t="shared" si="15"/>
        <v/>
      </c>
      <c r="AB90" s="333" t="str">
        <f t="shared" si="16"/>
        <v/>
      </c>
      <c r="AC90" s="334" t="str">
        <f t="shared" si="72"/>
        <v/>
      </c>
      <c r="AD90" s="335"/>
      <c r="AE90" s="336">
        <f t="shared" si="18"/>
        <v>0</v>
      </c>
      <c r="AF90" s="337">
        <f t="shared" si="19"/>
        <v>0</v>
      </c>
      <c r="AG90" s="338">
        <f t="shared" si="20"/>
        <v>0</v>
      </c>
      <c r="AH90" s="339">
        <v>269</v>
      </c>
      <c r="AI90" s="340">
        <v>341</v>
      </c>
      <c r="AJ90" s="340">
        <v>371</v>
      </c>
      <c r="AK90" s="340">
        <v>403</v>
      </c>
      <c r="AL90" s="340">
        <v>401</v>
      </c>
      <c r="AM90" s="340">
        <v>404</v>
      </c>
      <c r="AN90" s="340">
        <v>403</v>
      </c>
      <c r="AO90" s="340">
        <v>421</v>
      </c>
      <c r="AP90" s="340">
        <v>465</v>
      </c>
      <c r="AQ90" s="340">
        <v>545</v>
      </c>
      <c r="AR90" s="340">
        <v>595</v>
      </c>
      <c r="AS90" s="340">
        <v>704</v>
      </c>
      <c r="AT90" s="341">
        <v>764</v>
      </c>
      <c r="AU90" s="339">
        <f t="shared" si="21"/>
        <v>0</v>
      </c>
      <c r="AV90" s="340">
        <f t="shared" si="22"/>
        <v>0</v>
      </c>
      <c r="AW90" s="340">
        <f t="shared" si="23"/>
        <v>0</v>
      </c>
      <c r="AX90" s="340">
        <f t="shared" si="24"/>
        <v>0</v>
      </c>
      <c r="AY90" s="340">
        <f t="shared" si="25"/>
        <v>0</v>
      </c>
      <c r="AZ90" s="340">
        <f t="shared" si="26"/>
        <v>0</v>
      </c>
      <c r="BA90" s="340">
        <f t="shared" si="27"/>
        <v>0</v>
      </c>
      <c r="BB90" s="340">
        <f t="shared" si="28"/>
        <v>0</v>
      </c>
      <c r="BC90" s="340">
        <f t="shared" si="29"/>
        <v>0</v>
      </c>
      <c r="BD90" s="340">
        <f t="shared" si="30"/>
        <v>0</v>
      </c>
      <c r="BE90" s="340">
        <f t="shared" si="31"/>
        <v>0</v>
      </c>
      <c r="BF90" s="340">
        <f t="shared" si="32"/>
        <v>0</v>
      </c>
      <c r="BG90" s="340">
        <f t="shared" si="33"/>
        <v>0</v>
      </c>
      <c r="BH90" s="339" t="str">
        <f t="shared" si="34"/>
        <v/>
      </c>
      <c r="BI90" s="340" t="str">
        <f t="shared" si="35"/>
        <v/>
      </c>
      <c r="BJ90" s="340" t="str">
        <f t="shared" si="36"/>
        <v/>
      </c>
      <c r="BK90" s="340" t="str">
        <f t="shared" si="37"/>
        <v/>
      </c>
      <c r="BL90" s="340" t="str">
        <f t="shared" si="38"/>
        <v/>
      </c>
      <c r="BM90" s="340" t="str">
        <f t="shared" si="39"/>
        <v/>
      </c>
      <c r="BN90" s="340" t="str">
        <f t="shared" si="40"/>
        <v/>
      </c>
      <c r="BO90" s="340" t="str">
        <f t="shared" si="41"/>
        <v/>
      </c>
      <c r="BP90" s="340" t="str">
        <f t="shared" si="42"/>
        <v/>
      </c>
      <c r="BQ90" s="340" t="str">
        <f t="shared" si="43"/>
        <v/>
      </c>
      <c r="BR90" s="340" t="str">
        <f t="shared" si="44"/>
        <v/>
      </c>
      <c r="BS90" s="340" t="str">
        <f t="shared" si="45"/>
        <v/>
      </c>
      <c r="BT90" s="341" t="str">
        <f t="shared" si="46"/>
        <v/>
      </c>
      <c r="BU90" s="324"/>
    </row>
    <row r="91" spans="1:73" s="342" customFormat="1">
      <c r="A91" s="324"/>
      <c r="B91" s="324"/>
      <c r="C91" s="570" t="s">
        <v>530</v>
      </c>
      <c r="D91" s="572">
        <v>9.9</v>
      </c>
      <c r="E91" s="572">
        <v>8.9179999999999993</v>
      </c>
      <c r="F91" s="327">
        <f t="shared" si="0"/>
        <v>0.98200000000000109</v>
      </c>
      <c r="G91" s="570" t="s">
        <v>529</v>
      </c>
      <c r="H91" s="572">
        <v>10.45</v>
      </c>
      <c r="I91" s="572">
        <v>8.1769999999999996</v>
      </c>
      <c r="J91" s="327">
        <f t="shared" si="1"/>
        <v>2.2729999999999997</v>
      </c>
      <c r="K91" s="343">
        <f t="shared" si="2"/>
        <v>1.75</v>
      </c>
      <c r="L91" s="570">
        <v>34</v>
      </c>
      <c r="M91" s="570">
        <v>300</v>
      </c>
      <c r="N91" s="345">
        <f t="shared" si="3"/>
        <v>291</v>
      </c>
      <c r="O91" s="345">
        <v>109</v>
      </c>
      <c r="P91" s="346">
        <f t="shared" si="4"/>
        <v>182</v>
      </c>
      <c r="Q91" s="332" t="str">
        <f t="shared" si="5"/>
        <v/>
      </c>
      <c r="R91" s="332" t="str">
        <f t="shared" si="6"/>
        <v/>
      </c>
      <c r="S91" s="333">
        <f t="shared" si="7"/>
        <v>6188</v>
      </c>
      <c r="T91" s="333" t="str">
        <f t="shared" si="8"/>
        <v/>
      </c>
      <c r="U91" s="333" t="str">
        <f t="shared" si="9"/>
        <v/>
      </c>
      <c r="V91" s="333" t="str">
        <f t="shared" si="10"/>
        <v/>
      </c>
      <c r="W91" s="333" t="str">
        <f t="shared" si="11"/>
        <v/>
      </c>
      <c r="X91" s="333" t="str">
        <f t="shared" si="12"/>
        <v/>
      </c>
      <c r="Y91" s="333" t="str">
        <f t="shared" si="13"/>
        <v/>
      </c>
      <c r="Z91" s="333" t="str">
        <f t="shared" si="14"/>
        <v/>
      </c>
      <c r="AA91" s="333" t="str">
        <f t="shared" si="15"/>
        <v/>
      </c>
      <c r="AB91" s="333" t="str">
        <f t="shared" si="16"/>
        <v/>
      </c>
      <c r="AC91" s="334" t="str">
        <f t="shared" si="72"/>
        <v/>
      </c>
      <c r="AD91" s="335"/>
      <c r="AE91" s="336">
        <f t="shared" si="18"/>
        <v>2.4021000000000003</v>
      </c>
      <c r="AF91" s="337">
        <f t="shared" si="19"/>
        <v>33.150000000000006</v>
      </c>
      <c r="AG91" s="338">
        <f t="shared" si="20"/>
        <v>35.572500000000005</v>
      </c>
      <c r="AH91" s="339">
        <v>234</v>
      </c>
      <c r="AI91" s="340">
        <v>270</v>
      </c>
      <c r="AJ91" s="340">
        <v>291</v>
      </c>
      <c r="AK91" s="340">
        <v>316</v>
      </c>
      <c r="AL91" s="340">
        <v>321</v>
      </c>
      <c r="AM91" s="340">
        <v>305</v>
      </c>
      <c r="AN91" s="340">
        <v>335</v>
      </c>
      <c r="AO91" s="340">
        <v>353</v>
      </c>
      <c r="AP91" s="340">
        <v>399</v>
      </c>
      <c r="AQ91" s="340">
        <v>479</v>
      </c>
      <c r="AR91" s="340">
        <v>529</v>
      </c>
      <c r="AS91" s="340">
        <v>626</v>
      </c>
      <c r="AT91" s="341">
        <v>686</v>
      </c>
      <c r="AU91" s="339">
        <f t="shared" si="21"/>
        <v>0</v>
      </c>
      <c r="AV91" s="340">
        <f t="shared" si="22"/>
        <v>0</v>
      </c>
      <c r="AW91" s="340">
        <f t="shared" si="23"/>
        <v>291</v>
      </c>
      <c r="AX91" s="340">
        <f t="shared" si="24"/>
        <v>0</v>
      </c>
      <c r="AY91" s="340">
        <f t="shared" si="25"/>
        <v>0</v>
      </c>
      <c r="AZ91" s="340">
        <f t="shared" si="26"/>
        <v>0</v>
      </c>
      <c r="BA91" s="340">
        <f t="shared" si="27"/>
        <v>0</v>
      </c>
      <c r="BB91" s="340">
        <f t="shared" si="28"/>
        <v>0</v>
      </c>
      <c r="BC91" s="340">
        <f t="shared" si="29"/>
        <v>0</v>
      </c>
      <c r="BD91" s="340">
        <f t="shared" si="30"/>
        <v>0</v>
      </c>
      <c r="BE91" s="340">
        <f t="shared" si="31"/>
        <v>0</v>
      </c>
      <c r="BF91" s="340">
        <f t="shared" si="32"/>
        <v>0</v>
      </c>
      <c r="BG91" s="340">
        <f t="shared" si="33"/>
        <v>0</v>
      </c>
      <c r="BH91" s="339" t="str">
        <f t="shared" si="34"/>
        <v/>
      </c>
      <c r="BI91" s="340" t="str">
        <f t="shared" si="35"/>
        <v/>
      </c>
      <c r="BJ91" s="340">
        <f t="shared" si="36"/>
        <v>34</v>
      </c>
      <c r="BK91" s="340" t="str">
        <f t="shared" si="37"/>
        <v/>
      </c>
      <c r="BL91" s="340" t="str">
        <f t="shared" si="38"/>
        <v/>
      </c>
      <c r="BM91" s="340" t="str">
        <f t="shared" si="39"/>
        <v/>
      </c>
      <c r="BN91" s="340" t="str">
        <f t="shared" si="40"/>
        <v/>
      </c>
      <c r="BO91" s="340" t="str">
        <f t="shared" si="41"/>
        <v/>
      </c>
      <c r="BP91" s="340" t="str">
        <f t="shared" si="42"/>
        <v/>
      </c>
      <c r="BQ91" s="340" t="str">
        <f t="shared" si="43"/>
        <v/>
      </c>
      <c r="BR91" s="340" t="str">
        <f t="shared" si="44"/>
        <v/>
      </c>
      <c r="BS91" s="340" t="str">
        <f t="shared" si="45"/>
        <v/>
      </c>
      <c r="BT91" s="341" t="str">
        <f t="shared" si="46"/>
        <v/>
      </c>
      <c r="BU91" s="324"/>
    </row>
    <row r="92" spans="1:73" s="342" customFormat="1">
      <c r="A92" s="324"/>
      <c r="B92" s="324"/>
      <c r="C92" s="570"/>
      <c r="D92" s="572"/>
      <c r="E92" s="572"/>
      <c r="F92" s="327">
        <f t="shared" si="0"/>
        <v>0</v>
      </c>
      <c r="G92" s="570"/>
      <c r="H92" s="572"/>
      <c r="I92" s="572"/>
      <c r="J92" s="327">
        <f t="shared" si="1"/>
        <v>0</v>
      </c>
      <c r="K92" s="343">
        <f t="shared" si="2"/>
        <v>0</v>
      </c>
      <c r="L92" s="570"/>
      <c r="M92" s="570"/>
      <c r="N92" s="345">
        <f t="shared" si="3"/>
        <v>0</v>
      </c>
      <c r="O92" s="345">
        <v>109</v>
      </c>
      <c r="P92" s="346">
        <f t="shared" si="4"/>
        <v>0</v>
      </c>
      <c r="Q92" s="332" t="str">
        <f t="shared" si="5"/>
        <v/>
      </c>
      <c r="R92" s="332" t="str">
        <f t="shared" si="6"/>
        <v/>
      </c>
      <c r="S92" s="333" t="str">
        <f t="shared" si="7"/>
        <v/>
      </c>
      <c r="T92" s="333" t="str">
        <f t="shared" si="8"/>
        <v/>
      </c>
      <c r="U92" s="333" t="str">
        <f t="shared" si="9"/>
        <v/>
      </c>
      <c r="V92" s="333" t="str">
        <f t="shared" si="10"/>
        <v/>
      </c>
      <c r="W92" s="333" t="str">
        <f t="shared" si="11"/>
        <v/>
      </c>
      <c r="X92" s="333" t="str">
        <f t="shared" si="12"/>
        <v/>
      </c>
      <c r="Y92" s="333" t="str">
        <f t="shared" si="13"/>
        <v/>
      </c>
      <c r="Z92" s="333" t="str">
        <f t="shared" si="14"/>
        <v/>
      </c>
      <c r="AA92" s="333" t="str">
        <f t="shared" si="15"/>
        <v/>
      </c>
      <c r="AB92" s="333" t="str">
        <f t="shared" si="16"/>
        <v/>
      </c>
      <c r="AC92" s="334" t="str">
        <f t="shared" si="72"/>
        <v/>
      </c>
      <c r="AD92" s="335"/>
      <c r="AE92" s="336">
        <f t="shared" si="18"/>
        <v>0</v>
      </c>
      <c r="AF92" s="337">
        <f t="shared" si="19"/>
        <v>0</v>
      </c>
      <c r="AG92" s="338">
        <f t="shared" si="20"/>
        <v>0</v>
      </c>
      <c r="AH92" s="339">
        <v>165</v>
      </c>
      <c r="AI92" s="340">
        <v>195</v>
      </c>
      <c r="AJ92" s="340">
        <v>219</v>
      </c>
      <c r="AK92" s="340">
        <v>225</v>
      </c>
      <c r="AL92" s="340">
        <v>247</v>
      </c>
      <c r="AM92" s="340">
        <v>242</v>
      </c>
      <c r="AN92" s="340">
        <v>267</v>
      </c>
      <c r="AO92" s="340">
        <v>285</v>
      </c>
      <c r="AP92" s="340">
        <v>317</v>
      </c>
      <c r="AQ92" s="340">
        <v>397</v>
      </c>
      <c r="AR92" s="340">
        <v>447</v>
      </c>
      <c r="AS92" s="340">
        <v>560</v>
      </c>
      <c r="AT92" s="341">
        <v>620</v>
      </c>
      <c r="AU92" s="339">
        <f t="shared" si="21"/>
        <v>0</v>
      </c>
      <c r="AV92" s="340">
        <f t="shared" si="22"/>
        <v>0</v>
      </c>
      <c r="AW92" s="340">
        <f t="shared" si="23"/>
        <v>0</v>
      </c>
      <c r="AX92" s="340">
        <f t="shared" si="24"/>
        <v>0</v>
      </c>
      <c r="AY92" s="340">
        <f t="shared" si="25"/>
        <v>0</v>
      </c>
      <c r="AZ92" s="340">
        <f t="shared" si="26"/>
        <v>0</v>
      </c>
      <c r="BA92" s="340">
        <f t="shared" si="27"/>
        <v>0</v>
      </c>
      <c r="BB92" s="340">
        <f t="shared" si="28"/>
        <v>0</v>
      </c>
      <c r="BC92" s="340">
        <f t="shared" si="29"/>
        <v>0</v>
      </c>
      <c r="BD92" s="340">
        <f t="shared" si="30"/>
        <v>0</v>
      </c>
      <c r="BE92" s="340">
        <f t="shared" si="31"/>
        <v>0</v>
      </c>
      <c r="BF92" s="340">
        <f t="shared" si="32"/>
        <v>0</v>
      </c>
      <c r="BG92" s="340">
        <f t="shared" si="33"/>
        <v>0</v>
      </c>
      <c r="BH92" s="339" t="str">
        <f t="shared" si="34"/>
        <v/>
      </c>
      <c r="BI92" s="340" t="str">
        <f t="shared" si="35"/>
        <v/>
      </c>
      <c r="BJ92" s="340" t="str">
        <f t="shared" si="36"/>
        <v/>
      </c>
      <c r="BK92" s="340" t="str">
        <f t="shared" si="37"/>
        <v/>
      </c>
      <c r="BL92" s="340" t="str">
        <f t="shared" si="38"/>
        <v/>
      </c>
      <c r="BM92" s="340" t="str">
        <f t="shared" si="39"/>
        <v/>
      </c>
      <c r="BN92" s="340" t="str">
        <f t="shared" si="40"/>
        <v/>
      </c>
      <c r="BO92" s="340" t="str">
        <f t="shared" si="41"/>
        <v/>
      </c>
      <c r="BP92" s="340" t="str">
        <f t="shared" si="42"/>
        <v/>
      </c>
      <c r="BQ92" s="340" t="str">
        <f t="shared" si="43"/>
        <v/>
      </c>
      <c r="BR92" s="340" t="str">
        <f t="shared" si="44"/>
        <v/>
      </c>
      <c r="BS92" s="340" t="str">
        <f t="shared" si="45"/>
        <v/>
      </c>
      <c r="BT92" s="341" t="str">
        <f t="shared" si="46"/>
        <v/>
      </c>
      <c r="BU92" s="324"/>
    </row>
    <row r="93" spans="1:73" s="342" customFormat="1">
      <c r="A93" s="324"/>
      <c r="B93" s="324"/>
      <c r="C93" s="570" t="s">
        <v>529</v>
      </c>
      <c r="D93" s="572">
        <v>10.45</v>
      </c>
      <c r="E93" s="572">
        <v>8.1769999999999996</v>
      </c>
      <c r="F93" s="327">
        <f t="shared" si="0"/>
        <v>2.2729999999999997</v>
      </c>
      <c r="G93" s="570" t="s">
        <v>528</v>
      </c>
      <c r="H93" s="572">
        <v>10.15</v>
      </c>
      <c r="I93" s="572">
        <v>8.1180000000000003</v>
      </c>
      <c r="J93" s="327">
        <f t="shared" si="1"/>
        <v>2.032</v>
      </c>
      <c r="K93" s="343">
        <f t="shared" si="2"/>
        <v>2.25</v>
      </c>
      <c r="L93" s="570">
        <v>24</v>
      </c>
      <c r="M93" s="570">
        <v>900</v>
      </c>
      <c r="N93" s="345">
        <f t="shared" si="3"/>
        <v>545</v>
      </c>
      <c r="O93" s="345">
        <v>109</v>
      </c>
      <c r="P93" s="346">
        <f t="shared" si="4"/>
        <v>436</v>
      </c>
      <c r="Q93" s="332" t="str">
        <f t="shared" si="5"/>
        <v/>
      </c>
      <c r="R93" s="332" t="str">
        <f t="shared" si="6"/>
        <v/>
      </c>
      <c r="S93" s="333" t="str">
        <f t="shared" si="7"/>
        <v/>
      </c>
      <c r="T93" s="333" t="str">
        <f t="shared" si="8"/>
        <v/>
      </c>
      <c r="U93" s="333" t="str">
        <f t="shared" si="9"/>
        <v/>
      </c>
      <c r="V93" s="333" t="str">
        <f t="shared" si="10"/>
        <v/>
      </c>
      <c r="W93" s="333" t="str">
        <f t="shared" si="11"/>
        <v/>
      </c>
      <c r="X93" s="333" t="str">
        <f t="shared" si="12"/>
        <v/>
      </c>
      <c r="Y93" s="333" t="str">
        <f t="shared" si="13"/>
        <v/>
      </c>
      <c r="Z93" s="333">
        <f t="shared" si="14"/>
        <v>10464</v>
      </c>
      <c r="AA93" s="333" t="str">
        <f t="shared" si="15"/>
        <v/>
      </c>
      <c r="AB93" s="333" t="str">
        <f t="shared" si="16"/>
        <v/>
      </c>
      <c r="AC93" s="334" t="str">
        <f t="shared" si="72"/>
        <v/>
      </c>
      <c r="AD93" s="335"/>
      <c r="AE93" s="336">
        <f t="shared" si="18"/>
        <v>15.260400000000001</v>
      </c>
      <c r="AF93" s="337">
        <f t="shared" si="19"/>
        <v>58.320000000000007</v>
      </c>
      <c r="AG93" s="338">
        <f t="shared" si="20"/>
        <v>25.110000000000003</v>
      </c>
      <c r="AH93" s="339">
        <v>269</v>
      </c>
      <c r="AI93" s="340">
        <v>341</v>
      </c>
      <c r="AJ93" s="340">
        <v>371</v>
      </c>
      <c r="AK93" s="340">
        <v>403</v>
      </c>
      <c r="AL93" s="340">
        <v>401</v>
      </c>
      <c r="AM93" s="340">
        <v>404</v>
      </c>
      <c r="AN93" s="340">
        <v>403</v>
      </c>
      <c r="AO93" s="340">
        <v>421</v>
      </c>
      <c r="AP93" s="340">
        <v>465</v>
      </c>
      <c r="AQ93" s="340">
        <v>545</v>
      </c>
      <c r="AR93" s="340">
        <v>595</v>
      </c>
      <c r="AS93" s="340">
        <v>704</v>
      </c>
      <c r="AT93" s="341">
        <v>764</v>
      </c>
      <c r="AU93" s="339">
        <f t="shared" si="21"/>
        <v>0</v>
      </c>
      <c r="AV93" s="340">
        <f t="shared" si="22"/>
        <v>0</v>
      </c>
      <c r="AW93" s="340">
        <f t="shared" si="23"/>
        <v>0</v>
      </c>
      <c r="AX93" s="340">
        <f t="shared" si="24"/>
        <v>0</v>
      </c>
      <c r="AY93" s="340">
        <f t="shared" si="25"/>
        <v>0</v>
      </c>
      <c r="AZ93" s="340">
        <f t="shared" si="26"/>
        <v>0</v>
      </c>
      <c r="BA93" s="340">
        <f t="shared" si="27"/>
        <v>0</v>
      </c>
      <c r="BB93" s="340">
        <f t="shared" si="28"/>
        <v>0</v>
      </c>
      <c r="BC93" s="340">
        <f t="shared" si="29"/>
        <v>0</v>
      </c>
      <c r="BD93" s="340">
        <f t="shared" si="30"/>
        <v>545</v>
      </c>
      <c r="BE93" s="340">
        <f t="shared" si="31"/>
        <v>0</v>
      </c>
      <c r="BF93" s="340">
        <f t="shared" si="32"/>
        <v>0</v>
      </c>
      <c r="BG93" s="340">
        <f t="shared" si="33"/>
        <v>0</v>
      </c>
      <c r="BH93" s="339" t="str">
        <f t="shared" si="34"/>
        <v/>
      </c>
      <c r="BI93" s="340" t="str">
        <f t="shared" si="35"/>
        <v/>
      </c>
      <c r="BJ93" s="340" t="str">
        <f t="shared" si="36"/>
        <v/>
      </c>
      <c r="BK93" s="340" t="str">
        <f t="shared" si="37"/>
        <v/>
      </c>
      <c r="BL93" s="340" t="str">
        <f t="shared" si="38"/>
        <v/>
      </c>
      <c r="BM93" s="340" t="str">
        <f t="shared" si="39"/>
        <v/>
      </c>
      <c r="BN93" s="340" t="str">
        <f t="shared" si="40"/>
        <v/>
      </c>
      <c r="BO93" s="340" t="str">
        <f t="shared" si="41"/>
        <v/>
      </c>
      <c r="BP93" s="340" t="str">
        <f t="shared" si="42"/>
        <v/>
      </c>
      <c r="BQ93" s="340">
        <f t="shared" si="43"/>
        <v>24</v>
      </c>
      <c r="BR93" s="340" t="str">
        <f t="shared" si="44"/>
        <v/>
      </c>
      <c r="BS93" s="340" t="str">
        <f t="shared" si="45"/>
        <v/>
      </c>
      <c r="BT93" s="341" t="str">
        <f t="shared" si="46"/>
        <v/>
      </c>
      <c r="BU93" s="324"/>
    </row>
    <row r="94" spans="1:73" s="342" customFormat="1">
      <c r="A94" s="324"/>
      <c r="B94" s="324"/>
      <c r="C94" s="570" t="s">
        <v>528</v>
      </c>
      <c r="D94" s="572">
        <v>10.15</v>
      </c>
      <c r="E94" s="572">
        <v>8.1180000000000003</v>
      </c>
      <c r="F94" s="327">
        <f t="shared" si="0"/>
        <v>2.032</v>
      </c>
      <c r="G94" s="570" t="s">
        <v>522</v>
      </c>
      <c r="H94" s="572">
        <v>10</v>
      </c>
      <c r="I94" s="572">
        <v>8.08</v>
      </c>
      <c r="J94" s="327">
        <f t="shared" si="1"/>
        <v>1.92</v>
      </c>
      <c r="K94" s="343">
        <f t="shared" si="2"/>
        <v>2</v>
      </c>
      <c r="L94" s="570">
        <v>15</v>
      </c>
      <c r="M94" s="570">
        <v>900</v>
      </c>
      <c r="N94" s="345">
        <f t="shared" si="3"/>
        <v>630</v>
      </c>
      <c r="O94" s="345">
        <v>109</v>
      </c>
      <c r="P94" s="346">
        <f t="shared" si="4"/>
        <v>521</v>
      </c>
      <c r="Q94" s="332" t="str">
        <f t="shared" si="5"/>
        <v/>
      </c>
      <c r="R94" s="332" t="str">
        <f t="shared" si="6"/>
        <v/>
      </c>
      <c r="S94" s="333" t="str">
        <f t="shared" si="7"/>
        <v/>
      </c>
      <c r="T94" s="333" t="str">
        <f t="shared" si="8"/>
        <v/>
      </c>
      <c r="U94" s="333" t="str">
        <f t="shared" si="9"/>
        <v/>
      </c>
      <c r="V94" s="333" t="str">
        <f t="shared" si="10"/>
        <v/>
      </c>
      <c r="W94" s="333" t="str">
        <f t="shared" si="11"/>
        <v/>
      </c>
      <c r="X94" s="333" t="str">
        <f t="shared" si="12"/>
        <v/>
      </c>
      <c r="Y94" s="333" t="str">
        <f t="shared" si="13"/>
        <v/>
      </c>
      <c r="Z94" s="333">
        <f t="shared" si="14"/>
        <v>7815</v>
      </c>
      <c r="AA94" s="333" t="str">
        <f t="shared" si="15"/>
        <v/>
      </c>
      <c r="AB94" s="333" t="str">
        <f t="shared" si="16"/>
        <v/>
      </c>
      <c r="AC94" s="334" t="str">
        <f t="shared" si="72"/>
        <v/>
      </c>
      <c r="AD94" s="335"/>
      <c r="AE94" s="336">
        <f t="shared" si="18"/>
        <v>9.5377500000000008</v>
      </c>
      <c r="AF94" s="337">
        <f t="shared" si="19"/>
        <v>31.387500000000003</v>
      </c>
      <c r="AG94" s="338">
        <f t="shared" si="20"/>
        <v>15.693750000000001</v>
      </c>
      <c r="AH94" s="339">
        <v>394</v>
      </c>
      <c r="AI94" s="340">
        <v>416</v>
      </c>
      <c r="AJ94" s="340">
        <v>0</v>
      </c>
      <c r="AK94" s="340">
        <v>0</v>
      </c>
      <c r="AL94" s="340">
        <v>0</v>
      </c>
      <c r="AM94" s="340">
        <v>0</v>
      </c>
      <c r="AN94" s="340">
        <v>488</v>
      </c>
      <c r="AO94" s="340">
        <v>506</v>
      </c>
      <c r="AP94" s="340">
        <v>550</v>
      </c>
      <c r="AQ94" s="340">
        <v>630</v>
      </c>
      <c r="AR94" s="340">
        <v>680</v>
      </c>
      <c r="AS94" s="340">
        <v>789</v>
      </c>
      <c r="AT94" s="341">
        <v>849</v>
      </c>
      <c r="AU94" s="339">
        <f t="shared" si="21"/>
        <v>0</v>
      </c>
      <c r="AV94" s="340">
        <f t="shared" si="22"/>
        <v>0</v>
      </c>
      <c r="AW94" s="340">
        <f t="shared" si="23"/>
        <v>0</v>
      </c>
      <c r="AX94" s="340">
        <f t="shared" si="24"/>
        <v>0</v>
      </c>
      <c r="AY94" s="340">
        <f t="shared" si="25"/>
        <v>0</v>
      </c>
      <c r="AZ94" s="340">
        <f t="shared" si="26"/>
        <v>0</v>
      </c>
      <c r="BA94" s="340">
        <f t="shared" si="27"/>
        <v>0</v>
      </c>
      <c r="BB94" s="340">
        <f t="shared" si="28"/>
        <v>0</v>
      </c>
      <c r="BC94" s="340">
        <f t="shared" si="29"/>
        <v>0</v>
      </c>
      <c r="BD94" s="340">
        <f t="shared" si="30"/>
        <v>630</v>
      </c>
      <c r="BE94" s="340">
        <f t="shared" si="31"/>
        <v>0</v>
      </c>
      <c r="BF94" s="340">
        <f t="shared" si="32"/>
        <v>0</v>
      </c>
      <c r="BG94" s="340">
        <f t="shared" si="33"/>
        <v>0</v>
      </c>
      <c r="BH94" s="339" t="str">
        <f t="shared" si="34"/>
        <v/>
      </c>
      <c r="BI94" s="340" t="str">
        <f t="shared" si="35"/>
        <v/>
      </c>
      <c r="BJ94" s="340" t="str">
        <f t="shared" si="36"/>
        <v/>
      </c>
      <c r="BK94" s="340" t="str">
        <f t="shared" si="37"/>
        <v/>
      </c>
      <c r="BL94" s="340" t="str">
        <f t="shared" si="38"/>
        <v/>
      </c>
      <c r="BM94" s="340" t="str">
        <f t="shared" si="39"/>
        <v/>
      </c>
      <c r="BN94" s="340" t="str">
        <f t="shared" si="40"/>
        <v/>
      </c>
      <c r="BO94" s="340" t="str">
        <f t="shared" si="41"/>
        <v/>
      </c>
      <c r="BP94" s="340" t="str">
        <f t="shared" si="42"/>
        <v/>
      </c>
      <c r="BQ94" s="340">
        <f t="shared" si="43"/>
        <v>15</v>
      </c>
      <c r="BR94" s="340" t="str">
        <f t="shared" si="44"/>
        <v/>
      </c>
      <c r="BS94" s="340" t="str">
        <f t="shared" si="45"/>
        <v/>
      </c>
      <c r="BT94" s="341" t="str">
        <f t="shared" si="46"/>
        <v/>
      </c>
      <c r="BU94" s="324"/>
    </row>
    <row r="95" spans="1:73" s="342" customFormat="1">
      <c r="A95" s="324"/>
      <c r="B95" s="324"/>
      <c r="C95" s="570"/>
      <c r="D95" s="572"/>
      <c r="E95" s="572"/>
      <c r="F95" s="327">
        <f t="shared" si="0"/>
        <v>0</v>
      </c>
      <c r="G95" s="570"/>
      <c r="H95" s="572"/>
      <c r="I95" s="572"/>
      <c r="J95" s="327">
        <f t="shared" si="1"/>
        <v>0</v>
      </c>
      <c r="K95" s="343">
        <f t="shared" si="2"/>
        <v>0</v>
      </c>
      <c r="L95" s="570"/>
      <c r="M95" s="570"/>
      <c r="N95" s="345">
        <f t="shared" si="3"/>
        <v>0</v>
      </c>
      <c r="O95" s="345">
        <v>109</v>
      </c>
      <c r="P95" s="346">
        <f t="shared" si="4"/>
        <v>0</v>
      </c>
      <c r="Q95" s="332" t="str">
        <f t="shared" si="5"/>
        <v/>
      </c>
      <c r="R95" s="332" t="str">
        <f t="shared" si="6"/>
        <v/>
      </c>
      <c r="S95" s="333" t="str">
        <f t="shared" si="7"/>
        <v/>
      </c>
      <c r="T95" s="333" t="str">
        <f t="shared" si="8"/>
        <v/>
      </c>
      <c r="U95" s="333" t="str">
        <f t="shared" si="9"/>
        <v/>
      </c>
      <c r="V95" s="333" t="str">
        <f t="shared" si="10"/>
        <v/>
      </c>
      <c r="W95" s="333" t="str">
        <f t="shared" si="11"/>
        <v/>
      </c>
      <c r="X95" s="333" t="str">
        <f t="shared" si="12"/>
        <v/>
      </c>
      <c r="Y95" s="333" t="str">
        <f t="shared" si="13"/>
        <v/>
      </c>
      <c r="Z95" s="333" t="str">
        <f t="shared" si="14"/>
        <v/>
      </c>
      <c r="AA95" s="333" t="str">
        <f t="shared" si="15"/>
        <v/>
      </c>
      <c r="AB95" s="333" t="str">
        <f t="shared" si="16"/>
        <v/>
      </c>
      <c r="AC95" s="334" t="str">
        <f t="shared" si="72"/>
        <v/>
      </c>
      <c r="AD95" s="335"/>
      <c r="AE95" s="336">
        <f t="shared" si="18"/>
        <v>0</v>
      </c>
      <c r="AF95" s="337">
        <f t="shared" si="19"/>
        <v>0</v>
      </c>
      <c r="AG95" s="338">
        <f t="shared" si="20"/>
        <v>0</v>
      </c>
      <c r="AH95" s="339">
        <v>379</v>
      </c>
      <c r="AI95" s="340">
        <v>401</v>
      </c>
      <c r="AJ95" s="340">
        <v>0</v>
      </c>
      <c r="AK95" s="340">
        <v>0</v>
      </c>
      <c r="AL95" s="340">
        <v>0</v>
      </c>
      <c r="AM95" s="340">
        <v>0</v>
      </c>
      <c r="AN95" s="340">
        <v>471</v>
      </c>
      <c r="AO95" s="340">
        <v>489</v>
      </c>
      <c r="AP95" s="340">
        <v>533</v>
      </c>
      <c r="AQ95" s="340">
        <v>613</v>
      </c>
      <c r="AR95" s="340">
        <v>663</v>
      </c>
      <c r="AS95" s="340">
        <v>772</v>
      </c>
      <c r="AT95" s="341">
        <v>832</v>
      </c>
      <c r="AU95" s="339">
        <f t="shared" si="21"/>
        <v>0</v>
      </c>
      <c r="AV95" s="340">
        <f t="shared" si="22"/>
        <v>0</v>
      </c>
      <c r="AW95" s="340">
        <f t="shared" si="23"/>
        <v>0</v>
      </c>
      <c r="AX95" s="340">
        <f t="shared" si="24"/>
        <v>0</v>
      </c>
      <c r="AY95" s="340">
        <f t="shared" si="25"/>
        <v>0</v>
      </c>
      <c r="AZ95" s="340">
        <f t="shared" si="26"/>
        <v>0</v>
      </c>
      <c r="BA95" s="340">
        <f t="shared" si="27"/>
        <v>0</v>
      </c>
      <c r="BB95" s="340">
        <f t="shared" si="28"/>
        <v>0</v>
      </c>
      <c r="BC95" s="340">
        <f t="shared" si="29"/>
        <v>0</v>
      </c>
      <c r="BD95" s="340">
        <f t="shared" si="30"/>
        <v>0</v>
      </c>
      <c r="BE95" s="340">
        <f t="shared" si="31"/>
        <v>0</v>
      </c>
      <c r="BF95" s="340">
        <f t="shared" si="32"/>
        <v>0</v>
      </c>
      <c r="BG95" s="340">
        <f t="shared" si="33"/>
        <v>0</v>
      </c>
      <c r="BH95" s="339" t="str">
        <f t="shared" si="34"/>
        <v/>
      </c>
      <c r="BI95" s="340" t="str">
        <f t="shared" si="35"/>
        <v/>
      </c>
      <c r="BJ95" s="340" t="str">
        <f t="shared" si="36"/>
        <v/>
      </c>
      <c r="BK95" s="340" t="str">
        <f t="shared" si="37"/>
        <v/>
      </c>
      <c r="BL95" s="340" t="str">
        <f t="shared" si="38"/>
        <v/>
      </c>
      <c r="BM95" s="340" t="str">
        <f t="shared" si="39"/>
        <v/>
      </c>
      <c r="BN95" s="340" t="str">
        <f t="shared" si="40"/>
        <v/>
      </c>
      <c r="BO95" s="340" t="str">
        <f t="shared" si="41"/>
        <v/>
      </c>
      <c r="BP95" s="340" t="str">
        <f t="shared" si="42"/>
        <v/>
      </c>
      <c r="BQ95" s="340" t="str">
        <f t="shared" si="43"/>
        <v/>
      </c>
      <c r="BR95" s="340" t="str">
        <f t="shared" si="44"/>
        <v/>
      </c>
      <c r="BS95" s="340" t="str">
        <f t="shared" si="45"/>
        <v/>
      </c>
      <c r="BT95" s="341" t="str">
        <f t="shared" si="46"/>
        <v/>
      </c>
      <c r="BU95" s="324"/>
    </row>
    <row r="96" spans="1:73" s="342" customFormat="1">
      <c r="A96" s="324"/>
      <c r="B96" s="324"/>
      <c r="C96" s="570" t="s">
        <v>527</v>
      </c>
      <c r="D96" s="572">
        <v>9.94</v>
      </c>
      <c r="E96" s="572">
        <v>8.2080000000000002</v>
      </c>
      <c r="F96" s="327">
        <f t="shared" si="0"/>
        <v>1.7319999999999993</v>
      </c>
      <c r="G96" s="570" t="s">
        <v>526</v>
      </c>
      <c r="H96" s="572">
        <v>9.6999999999999993</v>
      </c>
      <c r="I96" s="572">
        <v>8.09</v>
      </c>
      <c r="J96" s="327">
        <f t="shared" si="1"/>
        <v>1.6099999999999994</v>
      </c>
      <c r="K96" s="343">
        <f t="shared" si="2"/>
        <v>1.75</v>
      </c>
      <c r="L96" s="570">
        <v>20</v>
      </c>
      <c r="M96" s="570">
        <v>225</v>
      </c>
      <c r="N96" s="345">
        <f t="shared" si="3"/>
        <v>0</v>
      </c>
      <c r="O96" s="345">
        <v>0</v>
      </c>
      <c r="P96" s="346">
        <f t="shared" si="4"/>
        <v>0</v>
      </c>
      <c r="Q96" s="332" t="str">
        <f t="shared" si="5"/>
        <v/>
      </c>
      <c r="R96" s="332">
        <f t="shared" si="6"/>
        <v>0</v>
      </c>
      <c r="S96" s="333" t="str">
        <f t="shared" si="7"/>
        <v/>
      </c>
      <c r="T96" s="333" t="str">
        <f t="shared" si="8"/>
        <v/>
      </c>
      <c r="U96" s="333" t="str">
        <f t="shared" si="9"/>
        <v/>
      </c>
      <c r="V96" s="333" t="str">
        <f t="shared" si="10"/>
        <v/>
      </c>
      <c r="W96" s="333" t="str">
        <f t="shared" si="11"/>
        <v/>
      </c>
      <c r="X96" s="333" t="str">
        <f t="shared" si="12"/>
        <v/>
      </c>
      <c r="Y96" s="333" t="str">
        <f t="shared" si="13"/>
        <v/>
      </c>
      <c r="Z96" s="333" t="str">
        <f t="shared" si="14"/>
        <v/>
      </c>
      <c r="AA96" s="333" t="str">
        <f t="shared" si="15"/>
        <v/>
      </c>
      <c r="AB96" s="333" t="str">
        <f t="shared" si="16"/>
        <v/>
      </c>
      <c r="AC96" s="334" t="str">
        <f t="shared" si="72"/>
        <v/>
      </c>
      <c r="AD96" s="335"/>
      <c r="AE96" s="336">
        <f t="shared" si="18"/>
        <v>0.79481250000000003</v>
      </c>
      <c r="AF96" s="337">
        <f t="shared" si="19"/>
        <v>17.55</v>
      </c>
      <c r="AG96" s="338">
        <f t="shared" si="20"/>
        <v>20.925000000000004</v>
      </c>
      <c r="AH96" s="339">
        <v>0</v>
      </c>
      <c r="AI96" s="340">
        <v>0</v>
      </c>
      <c r="AJ96" s="340">
        <v>0</v>
      </c>
      <c r="AK96" s="340">
        <v>0</v>
      </c>
      <c r="AL96" s="340">
        <v>0</v>
      </c>
      <c r="AM96" s="340">
        <v>0</v>
      </c>
      <c r="AN96" s="340">
        <v>0</v>
      </c>
      <c r="AO96" s="340">
        <v>0</v>
      </c>
      <c r="AP96" s="340">
        <v>0</v>
      </c>
      <c r="AQ96" s="340">
        <v>0</v>
      </c>
      <c r="AR96" s="340">
        <v>0</v>
      </c>
      <c r="AS96" s="340">
        <v>0</v>
      </c>
      <c r="AT96" s="341">
        <v>0</v>
      </c>
      <c r="AU96" s="339">
        <f t="shared" si="21"/>
        <v>0</v>
      </c>
      <c r="AV96" s="340">
        <f t="shared" si="22"/>
        <v>0</v>
      </c>
      <c r="AW96" s="340">
        <f t="shared" si="23"/>
        <v>0</v>
      </c>
      <c r="AX96" s="340">
        <f t="shared" si="24"/>
        <v>0</v>
      </c>
      <c r="AY96" s="340">
        <f t="shared" si="25"/>
        <v>0</v>
      </c>
      <c r="AZ96" s="340">
        <f t="shared" si="26"/>
        <v>0</v>
      </c>
      <c r="BA96" s="340">
        <f t="shared" si="27"/>
        <v>0</v>
      </c>
      <c r="BB96" s="340">
        <f t="shared" si="28"/>
        <v>0</v>
      </c>
      <c r="BC96" s="340">
        <f t="shared" si="29"/>
        <v>0</v>
      </c>
      <c r="BD96" s="340">
        <f t="shared" si="30"/>
        <v>0</v>
      </c>
      <c r="BE96" s="340">
        <f t="shared" si="31"/>
        <v>0</v>
      </c>
      <c r="BF96" s="340">
        <f t="shared" si="32"/>
        <v>0</v>
      </c>
      <c r="BG96" s="340">
        <f t="shared" si="33"/>
        <v>0</v>
      </c>
      <c r="BH96" s="339" t="str">
        <f t="shared" si="34"/>
        <v/>
      </c>
      <c r="BI96" s="340">
        <f t="shared" si="35"/>
        <v>20</v>
      </c>
      <c r="BJ96" s="340" t="str">
        <f t="shared" si="36"/>
        <v/>
      </c>
      <c r="BK96" s="340" t="str">
        <f t="shared" si="37"/>
        <v/>
      </c>
      <c r="BL96" s="340" t="str">
        <f t="shared" si="38"/>
        <v/>
      </c>
      <c r="BM96" s="340" t="str">
        <f t="shared" si="39"/>
        <v/>
      </c>
      <c r="BN96" s="340" t="str">
        <f t="shared" si="40"/>
        <v/>
      </c>
      <c r="BO96" s="340" t="str">
        <f t="shared" si="41"/>
        <v/>
      </c>
      <c r="BP96" s="340" t="str">
        <f t="shared" si="42"/>
        <v/>
      </c>
      <c r="BQ96" s="340" t="str">
        <f t="shared" si="43"/>
        <v/>
      </c>
      <c r="BR96" s="340" t="str">
        <f t="shared" si="44"/>
        <v/>
      </c>
      <c r="BS96" s="340" t="str">
        <f t="shared" si="45"/>
        <v/>
      </c>
      <c r="BT96" s="341" t="str">
        <f t="shared" si="46"/>
        <v/>
      </c>
      <c r="BU96" s="324"/>
    </row>
    <row r="97" spans="1:73" s="342" customFormat="1">
      <c r="A97" s="324"/>
      <c r="B97" s="324"/>
      <c r="C97" s="570" t="s">
        <v>526</v>
      </c>
      <c r="D97" s="572">
        <v>9.6999999999999993</v>
      </c>
      <c r="E97" s="572">
        <v>8.09</v>
      </c>
      <c r="F97" s="327">
        <f t="shared" si="0"/>
        <v>1.6099999999999994</v>
      </c>
      <c r="G97" s="570" t="s">
        <v>521</v>
      </c>
      <c r="H97" s="572">
        <v>9.3000000000000007</v>
      </c>
      <c r="I97" s="572">
        <v>7.9409999999999998</v>
      </c>
      <c r="J97" s="327">
        <f t="shared" si="1"/>
        <v>1.3590000000000009</v>
      </c>
      <c r="K97" s="343">
        <f t="shared" si="2"/>
        <v>1.5</v>
      </c>
      <c r="L97" s="570">
        <v>25</v>
      </c>
      <c r="M97" s="570">
        <v>225</v>
      </c>
      <c r="N97" s="345">
        <f t="shared" si="3"/>
        <v>0</v>
      </c>
      <c r="O97" s="345">
        <v>0</v>
      </c>
      <c r="P97" s="346">
        <f t="shared" si="4"/>
        <v>0</v>
      </c>
      <c r="Q97" s="332" t="str">
        <f t="shared" si="5"/>
        <v/>
      </c>
      <c r="R97" s="332">
        <f t="shared" si="6"/>
        <v>0</v>
      </c>
      <c r="S97" s="333" t="str">
        <f t="shared" si="7"/>
        <v/>
      </c>
      <c r="T97" s="333" t="str">
        <f t="shared" si="8"/>
        <v/>
      </c>
      <c r="U97" s="333" t="str">
        <f t="shared" si="9"/>
        <v/>
      </c>
      <c r="V97" s="333" t="str">
        <f t="shared" si="10"/>
        <v/>
      </c>
      <c r="W97" s="333" t="str">
        <f t="shared" si="11"/>
        <v/>
      </c>
      <c r="X97" s="333" t="str">
        <f t="shared" si="12"/>
        <v/>
      </c>
      <c r="Y97" s="333" t="str">
        <f t="shared" si="13"/>
        <v/>
      </c>
      <c r="Z97" s="333" t="str">
        <f t="shared" si="14"/>
        <v/>
      </c>
      <c r="AA97" s="333" t="str">
        <f t="shared" si="15"/>
        <v/>
      </c>
      <c r="AB97" s="333" t="str">
        <f t="shared" si="16"/>
        <v/>
      </c>
      <c r="AC97" s="334" t="str">
        <f t="shared" si="72"/>
        <v/>
      </c>
      <c r="AD97" s="335"/>
      <c r="AE97" s="336">
        <f t="shared" si="18"/>
        <v>0.99351562500000001</v>
      </c>
      <c r="AF97" s="337">
        <f t="shared" si="19"/>
        <v>17.718750000000004</v>
      </c>
      <c r="AG97" s="338">
        <f t="shared" si="20"/>
        <v>26.156250000000004</v>
      </c>
      <c r="AH97" s="339">
        <v>0</v>
      </c>
      <c r="AI97" s="340">
        <v>0</v>
      </c>
      <c r="AJ97" s="340">
        <v>0</v>
      </c>
      <c r="AK97" s="340">
        <v>0</v>
      </c>
      <c r="AL97" s="340">
        <v>0</v>
      </c>
      <c r="AM97" s="340">
        <v>0</v>
      </c>
      <c r="AN97" s="340">
        <v>0</v>
      </c>
      <c r="AO97" s="340">
        <v>0</v>
      </c>
      <c r="AP97" s="340">
        <v>0</v>
      </c>
      <c r="AQ97" s="340">
        <v>0</v>
      </c>
      <c r="AR97" s="340">
        <v>0</v>
      </c>
      <c r="AS97" s="340">
        <v>0</v>
      </c>
      <c r="AT97" s="341">
        <v>0</v>
      </c>
      <c r="AU97" s="339">
        <f t="shared" si="21"/>
        <v>0</v>
      </c>
      <c r="AV97" s="340">
        <f t="shared" si="22"/>
        <v>0</v>
      </c>
      <c r="AW97" s="340">
        <f t="shared" si="23"/>
        <v>0</v>
      </c>
      <c r="AX97" s="340">
        <f t="shared" si="24"/>
        <v>0</v>
      </c>
      <c r="AY97" s="340">
        <f t="shared" si="25"/>
        <v>0</v>
      </c>
      <c r="AZ97" s="340">
        <f t="shared" si="26"/>
        <v>0</v>
      </c>
      <c r="BA97" s="340">
        <f t="shared" si="27"/>
        <v>0</v>
      </c>
      <c r="BB97" s="340">
        <f t="shared" si="28"/>
        <v>0</v>
      </c>
      <c r="BC97" s="340">
        <f t="shared" si="29"/>
        <v>0</v>
      </c>
      <c r="BD97" s="340">
        <f t="shared" si="30"/>
        <v>0</v>
      </c>
      <c r="BE97" s="340">
        <f t="shared" si="31"/>
        <v>0</v>
      </c>
      <c r="BF97" s="340">
        <f t="shared" si="32"/>
        <v>0</v>
      </c>
      <c r="BG97" s="340">
        <f t="shared" si="33"/>
        <v>0</v>
      </c>
      <c r="BH97" s="339" t="str">
        <f t="shared" si="34"/>
        <v/>
      </c>
      <c r="BI97" s="340">
        <f t="shared" si="35"/>
        <v>25</v>
      </c>
      <c r="BJ97" s="340" t="str">
        <f t="shared" si="36"/>
        <v/>
      </c>
      <c r="BK97" s="340" t="str">
        <f t="shared" si="37"/>
        <v/>
      </c>
      <c r="BL97" s="340" t="str">
        <f t="shared" si="38"/>
        <v/>
      </c>
      <c r="BM97" s="340" t="str">
        <f t="shared" si="39"/>
        <v/>
      </c>
      <c r="BN97" s="340" t="str">
        <f t="shared" si="40"/>
        <v/>
      </c>
      <c r="BO97" s="340" t="str">
        <f t="shared" si="41"/>
        <v/>
      </c>
      <c r="BP97" s="340" t="str">
        <f t="shared" si="42"/>
        <v/>
      </c>
      <c r="BQ97" s="340" t="str">
        <f t="shared" si="43"/>
        <v/>
      </c>
      <c r="BR97" s="340" t="str">
        <f t="shared" si="44"/>
        <v/>
      </c>
      <c r="BS97" s="340" t="str">
        <f t="shared" si="45"/>
        <v/>
      </c>
      <c r="BT97" s="341" t="str">
        <f t="shared" si="46"/>
        <v/>
      </c>
      <c r="BU97" s="324"/>
    </row>
    <row r="98" spans="1:73" s="342" customFormat="1">
      <c r="A98" s="324"/>
      <c r="B98" s="324"/>
      <c r="C98" s="570"/>
      <c r="D98" s="572"/>
      <c r="E98" s="572"/>
      <c r="F98" s="327">
        <f t="shared" si="0"/>
        <v>0</v>
      </c>
      <c r="G98" s="570"/>
      <c r="H98" s="572"/>
      <c r="I98" s="572"/>
      <c r="J98" s="327">
        <f t="shared" si="1"/>
        <v>0</v>
      </c>
      <c r="K98" s="343">
        <f t="shared" si="2"/>
        <v>0</v>
      </c>
      <c r="L98" s="570"/>
      <c r="M98" s="570"/>
      <c r="N98" s="345">
        <f t="shared" si="3"/>
        <v>0</v>
      </c>
      <c r="O98" s="345">
        <v>0</v>
      </c>
      <c r="P98" s="346">
        <f t="shared" si="4"/>
        <v>0</v>
      </c>
      <c r="Q98" s="332" t="str">
        <f t="shared" si="5"/>
        <v/>
      </c>
      <c r="R98" s="332" t="str">
        <f t="shared" si="6"/>
        <v/>
      </c>
      <c r="S98" s="333" t="str">
        <f t="shared" si="7"/>
        <v/>
      </c>
      <c r="T98" s="333" t="str">
        <f t="shared" si="8"/>
        <v/>
      </c>
      <c r="U98" s="333" t="str">
        <f t="shared" si="9"/>
        <v/>
      </c>
      <c r="V98" s="333" t="str">
        <f t="shared" si="10"/>
        <v/>
      </c>
      <c r="W98" s="333" t="str">
        <f t="shared" si="11"/>
        <v/>
      </c>
      <c r="X98" s="333" t="str">
        <f t="shared" si="12"/>
        <v/>
      </c>
      <c r="Y98" s="333" t="str">
        <f t="shared" si="13"/>
        <v/>
      </c>
      <c r="Z98" s="333" t="str">
        <f t="shared" si="14"/>
        <v/>
      </c>
      <c r="AA98" s="333" t="str">
        <f t="shared" si="15"/>
        <v/>
      </c>
      <c r="AB98" s="333" t="str">
        <f t="shared" si="16"/>
        <v/>
      </c>
      <c r="AC98" s="334" t="str">
        <f t="shared" si="72"/>
        <v/>
      </c>
      <c r="AD98" s="335"/>
      <c r="AE98" s="336">
        <f t="shared" si="18"/>
        <v>0</v>
      </c>
      <c r="AF98" s="337">
        <f t="shared" si="19"/>
        <v>0</v>
      </c>
      <c r="AG98" s="338">
        <f t="shared" si="20"/>
        <v>0</v>
      </c>
      <c r="AH98" s="339">
        <v>0</v>
      </c>
      <c r="AI98" s="340">
        <v>0</v>
      </c>
      <c r="AJ98" s="340">
        <v>0</v>
      </c>
      <c r="AK98" s="340">
        <v>0</v>
      </c>
      <c r="AL98" s="340">
        <v>0</v>
      </c>
      <c r="AM98" s="340">
        <v>0</v>
      </c>
      <c r="AN98" s="340">
        <v>0</v>
      </c>
      <c r="AO98" s="340">
        <v>0</v>
      </c>
      <c r="AP98" s="340">
        <v>0</v>
      </c>
      <c r="AQ98" s="340">
        <v>0</v>
      </c>
      <c r="AR98" s="340">
        <v>0</v>
      </c>
      <c r="AS98" s="340">
        <v>0</v>
      </c>
      <c r="AT98" s="341">
        <v>0</v>
      </c>
      <c r="AU98" s="339">
        <f t="shared" si="21"/>
        <v>0</v>
      </c>
      <c r="AV98" s="340">
        <f t="shared" si="22"/>
        <v>0</v>
      </c>
      <c r="AW98" s="340">
        <f t="shared" si="23"/>
        <v>0</v>
      </c>
      <c r="AX98" s="340">
        <f t="shared" si="24"/>
        <v>0</v>
      </c>
      <c r="AY98" s="340">
        <f t="shared" si="25"/>
        <v>0</v>
      </c>
      <c r="AZ98" s="340">
        <f t="shared" si="26"/>
        <v>0</v>
      </c>
      <c r="BA98" s="340">
        <f t="shared" si="27"/>
        <v>0</v>
      </c>
      <c r="BB98" s="340">
        <f t="shared" si="28"/>
        <v>0</v>
      </c>
      <c r="BC98" s="340">
        <f t="shared" si="29"/>
        <v>0</v>
      </c>
      <c r="BD98" s="340">
        <f t="shared" si="30"/>
        <v>0</v>
      </c>
      <c r="BE98" s="340">
        <f t="shared" si="31"/>
        <v>0</v>
      </c>
      <c r="BF98" s="340">
        <f t="shared" si="32"/>
        <v>0</v>
      </c>
      <c r="BG98" s="340">
        <f t="shared" si="33"/>
        <v>0</v>
      </c>
      <c r="BH98" s="339" t="str">
        <f t="shared" si="34"/>
        <v/>
      </c>
      <c r="BI98" s="340" t="str">
        <f t="shared" si="35"/>
        <v/>
      </c>
      <c r="BJ98" s="340" t="str">
        <f t="shared" si="36"/>
        <v/>
      </c>
      <c r="BK98" s="340" t="str">
        <f t="shared" si="37"/>
        <v/>
      </c>
      <c r="BL98" s="340" t="str">
        <f t="shared" si="38"/>
        <v/>
      </c>
      <c r="BM98" s="340" t="str">
        <f t="shared" si="39"/>
        <v/>
      </c>
      <c r="BN98" s="340" t="str">
        <f t="shared" si="40"/>
        <v/>
      </c>
      <c r="BO98" s="340" t="str">
        <f t="shared" si="41"/>
        <v/>
      </c>
      <c r="BP98" s="340" t="str">
        <f t="shared" si="42"/>
        <v/>
      </c>
      <c r="BQ98" s="340" t="str">
        <f t="shared" si="43"/>
        <v/>
      </c>
      <c r="BR98" s="340" t="str">
        <f t="shared" si="44"/>
        <v/>
      </c>
      <c r="BS98" s="340" t="str">
        <f t="shared" si="45"/>
        <v/>
      </c>
      <c r="BT98" s="341" t="str">
        <f t="shared" si="46"/>
        <v/>
      </c>
      <c r="BU98" s="324"/>
    </row>
    <row r="99" spans="1:73" s="342" customFormat="1">
      <c r="A99" s="324"/>
      <c r="B99" s="324"/>
      <c r="C99" s="570" t="s">
        <v>525</v>
      </c>
      <c r="D99" s="572">
        <v>9.5</v>
      </c>
      <c r="E99" s="572">
        <v>8</v>
      </c>
      <c r="F99" s="327">
        <f t="shared" si="0"/>
        <v>1.5</v>
      </c>
      <c r="G99" s="570" t="s">
        <v>106</v>
      </c>
      <c r="H99" s="572">
        <v>9.6999999999999993</v>
      </c>
      <c r="I99" s="572">
        <v>7.9379999999999997</v>
      </c>
      <c r="J99" s="327">
        <f t="shared" si="1"/>
        <v>1.7619999999999996</v>
      </c>
      <c r="K99" s="343">
        <f t="shared" si="2"/>
        <v>1.75</v>
      </c>
      <c r="L99" s="570">
        <v>15</v>
      </c>
      <c r="M99" s="570">
        <v>300</v>
      </c>
      <c r="N99" s="345">
        <f t="shared" si="3"/>
        <v>0</v>
      </c>
      <c r="O99" s="345">
        <v>0</v>
      </c>
      <c r="P99" s="346">
        <f t="shared" si="4"/>
        <v>0</v>
      </c>
      <c r="Q99" s="332" t="str">
        <f t="shared" si="5"/>
        <v/>
      </c>
      <c r="R99" s="332" t="str">
        <f t="shared" si="6"/>
        <v/>
      </c>
      <c r="S99" s="333">
        <f t="shared" si="7"/>
        <v>0</v>
      </c>
      <c r="T99" s="333" t="str">
        <f t="shared" si="8"/>
        <v/>
      </c>
      <c r="U99" s="333" t="str">
        <f t="shared" si="9"/>
        <v/>
      </c>
      <c r="V99" s="333" t="str">
        <f t="shared" si="10"/>
        <v/>
      </c>
      <c r="W99" s="333" t="str">
        <f t="shared" si="11"/>
        <v/>
      </c>
      <c r="X99" s="333" t="str">
        <f t="shared" si="12"/>
        <v/>
      </c>
      <c r="Y99" s="333" t="str">
        <f t="shared" si="13"/>
        <v/>
      </c>
      <c r="Z99" s="333" t="str">
        <f t="shared" si="14"/>
        <v/>
      </c>
      <c r="AA99" s="333" t="str">
        <f t="shared" si="15"/>
        <v/>
      </c>
      <c r="AB99" s="333" t="str">
        <f t="shared" si="16"/>
        <v/>
      </c>
      <c r="AC99" s="334" t="str">
        <f t="shared" si="72"/>
        <v/>
      </c>
      <c r="AD99" s="335"/>
      <c r="AE99" s="336">
        <f t="shared" si="18"/>
        <v>1.05975</v>
      </c>
      <c r="AF99" s="337">
        <f t="shared" si="19"/>
        <v>14.625000000000002</v>
      </c>
      <c r="AG99" s="338">
        <f t="shared" si="20"/>
        <v>15.693750000000001</v>
      </c>
      <c r="AH99" s="339">
        <v>0</v>
      </c>
      <c r="AI99" s="340">
        <v>0</v>
      </c>
      <c r="AJ99" s="340">
        <v>0</v>
      </c>
      <c r="AK99" s="340">
        <v>0</v>
      </c>
      <c r="AL99" s="340">
        <v>0</v>
      </c>
      <c r="AM99" s="340">
        <v>0</v>
      </c>
      <c r="AN99" s="340">
        <v>0</v>
      </c>
      <c r="AO99" s="340">
        <v>0</v>
      </c>
      <c r="AP99" s="340">
        <v>0</v>
      </c>
      <c r="AQ99" s="340">
        <v>0</v>
      </c>
      <c r="AR99" s="340">
        <v>0</v>
      </c>
      <c r="AS99" s="340">
        <v>0</v>
      </c>
      <c r="AT99" s="341">
        <v>0</v>
      </c>
      <c r="AU99" s="339">
        <f t="shared" si="21"/>
        <v>0</v>
      </c>
      <c r="AV99" s="340">
        <f t="shared" si="22"/>
        <v>0</v>
      </c>
      <c r="AW99" s="340">
        <f t="shared" si="23"/>
        <v>0</v>
      </c>
      <c r="AX99" s="340">
        <f t="shared" si="24"/>
        <v>0</v>
      </c>
      <c r="AY99" s="340">
        <f t="shared" si="25"/>
        <v>0</v>
      </c>
      <c r="AZ99" s="340">
        <f t="shared" si="26"/>
        <v>0</v>
      </c>
      <c r="BA99" s="340">
        <f t="shared" si="27"/>
        <v>0</v>
      </c>
      <c r="BB99" s="340">
        <f t="shared" si="28"/>
        <v>0</v>
      </c>
      <c r="BC99" s="340">
        <f t="shared" si="29"/>
        <v>0</v>
      </c>
      <c r="BD99" s="340">
        <f t="shared" si="30"/>
        <v>0</v>
      </c>
      <c r="BE99" s="340">
        <f t="shared" si="31"/>
        <v>0</v>
      </c>
      <c r="BF99" s="340">
        <f t="shared" si="32"/>
        <v>0</v>
      </c>
      <c r="BG99" s="340">
        <f t="shared" si="33"/>
        <v>0</v>
      </c>
      <c r="BH99" s="339" t="str">
        <f t="shared" si="34"/>
        <v/>
      </c>
      <c r="BI99" s="340" t="str">
        <f t="shared" si="35"/>
        <v/>
      </c>
      <c r="BJ99" s="340">
        <f t="shared" si="36"/>
        <v>15</v>
      </c>
      <c r="BK99" s="340" t="str">
        <f t="shared" si="37"/>
        <v/>
      </c>
      <c r="BL99" s="340" t="str">
        <f t="shared" si="38"/>
        <v/>
      </c>
      <c r="BM99" s="340" t="str">
        <f t="shared" si="39"/>
        <v/>
      </c>
      <c r="BN99" s="340" t="str">
        <f t="shared" si="40"/>
        <v/>
      </c>
      <c r="BO99" s="340" t="str">
        <f t="shared" si="41"/>
        <v/>
      </c>
      <c r="BP99" s="340" t="str">
        <f t="shared" si="42"/>
        <v/>
      </c>
      <c r="BQ99" s="340" t="str">
        <f t="shared" si="43"/>
        <v/>
      </c>
      <c r="BR99" s="340" t="str">
        <f t="shared" si="44"/>
        <v/>
      </c>
      <c r="BS99" s="340" t="str">
        <f t="shared" si="45"/>
        <v/>
      </c>
      <c r="BT99" s="341" t="str">
        <f t="shared" si="46"/>
        <v/>
      </c>
      <c r="BU99" s="324"/>
    </row>
    <row r="100" spans="1:73" s="342" customFormat="1">
      <c r="A100" s="324"/>
      <c r="B100" s="324"/>
      <c r="C100" s="570" t="s">
        <v>106</v>
      </c>
      <c r="D100" s="572">
        <v>9.6999999999999993</v>
      </c>
      <c r="E100" s="572">
        <v>7.9379999999999997</v>
      </c>
      <c r="F100" s="327">
        <f t="shared" si="0"/>
        <v>1.7619999999999996</v>
      </c>
      <c r="G100" s="570" t="s">
        <v>520</v>
      </c>
      <c r="H100" s="572">
        <v>9.5</v>
      </c>
      <c r="I100" s="572">
        <v>7.8659999999999997</v>
      </c>
      <c r="J100" s="327">
        <f t="shared" si="1"/>
        <v>1.6340000000000003</v>
      </c>
      <c r="K100" s="343">
        <f t="shared" si="2"/>
        <v>1.75</v>
      </c>
      <c r="L100" s="570">
        <v>18</v>
      </c>
      <c r="M100" s="570">
        <v>300</v>
      </c>
      <c r="N100" s="345">
        <f t="shared" si="3"/>
        <v>0</v>
      </c>
      <c r="O100" s="345">
        <v>0</v>
      </c>
      <c r="P100" s="346">
        <f t="shared" si="4"/>
        <v>0</v>
      </c>
      <c r="Q100" s="332" t="str">
        <f t="shared" si="5"/>
        <v/>
      </c>
      <c r="R100" s="332" t="str">
        <f t="shared" si="6"/>
        <v/>
      </c>
      <c r="S100" s="333">
        <f t="shared" si="7"/>
        <v>0</v>
      </c>
      <c r="T100" s="333" t="str">
        <f t="shared" si="8"/>
        <v/>
      </c>
      <c r="U100" s="333" t="str">
        <f t="shared" si="9"/>
        <v/>
      </c>
      <c r="V100" s="333" t="str">
        <f t="shared" si="10"/>
        <v/>
      </c>
      <c r="W100" s="333" t="str">
        <f t="shared" si="11"/>
        <v/>
      </c>
      <c r="X100" s="333" t="str">
        <f t="shared" si="12"/>
        <v/>
      </c>
      <c r="Y100" s="333" t="str">
        <f t="shared" si="13"/>
        <v/>
      </c>
      <c r="Z100" s="333" t="str">
        <f t="shared" si="14"/>
        <v/>
      </c>
      <c r="AA100" s="333" t="str">
        <f t="shared" si="15"/>
        <v/>
      </c>
      <c r="AB100" s="333" t="str">
        <f t="shared" si="16"/>
        <v/>
      </c>
      <c r="AC100" s="334" t="str">
        <f t="shared" si="72"/>
        <v/>
      </c>
      <c r="AD100" s="335"/>
      <c r="AE100" s="336">
        <f t="shared" si="18"/>
        <v>1.2717000000000001</v>
      </c>
      <c r="AF100" s="337">
        <f t="shared" si="19"/>
        <v>17.55</v>
      </c>
      <c r="AG100" s="338">
        <f t="shared" si="20"/>
        <v>18.832500000000003</v>
      </c>
      <c r="AH100" s="339">
        <v>0</v>
      </c>
      <c r="AI100" s="340">
        <v>0</v>
      </c>
      <c r="AJ100" s="340">
        <v>0</v>
      </c>
      <c r="AK100" s="340">
        <v>0</v>
      </c>
      <c r="AL100" s="340">
        <v>0</v>
      </c>
      <c r="AM100" s="340">
        <v>0</v>
      </c>
      <c r="AN100" s="340">
        <v>0</v>
      </c>
      <c r="AO100" s="340">
        <v>0</v>
      </c>
      <c r="AP100" s="340">
        <v>0</v>
      </c>
      <c r="AQ100" s="340">
        <v>0</v>
      </c>
      <c r="AR100" s="340">
        <v>0</v>
      </c>
      <c r="AS100" s="340">
        <v>0</v>
      </c>
      <c r="AT100" s="341">
        <v>0</v>
      </c>
      <c r="AU100" s="339">
        <f t="shared" si="21"/>
        <v>0</v>
      </c>
      <c r="AV100" s="340">
        <f t="shared" si="22"/>
        <v>0</v>
      </c>
      <c r="AW100" s="340">
        <f t="shared" si="23"/>
        <v>0</v>
      </c>
      <c r="AX100" s="340">
        <f t="shared" si="24"/>
        <v>0</v>
      </c>
      <c r="AY100" s="340">
        <f t="shared" si="25"/>
        <v>0</v>
      </c>
      <c r="AZ100" s="340">
        <f t="shared" si="26"/>
        <v>0</v>
      </c>
      <c r="BA100" s="340">
        <f t="shared" si="27"/>
        <v>0</v>
      </c>
      <c r="BB100" s="340">
        <f t="shared" si="28"/>
        <v>0</v>
      </c>
      <c r="BC100" s="340">
        <f t="shared" si="29"/>
        <v>0</v>
      </c>
      <c r="BD100" s="340">
        <f t="shared" si="30"/>
        <v>0</v>
      </c>
      <c r="BE100" s="340">
        <f t="shared" si="31"/>
        <v>0</v>
      </c>
      <c r="BF100" s="340">
        <f t="shared" si="32"/>
        <v>0</v>
      </c>
      <c r="BG100" s="340">
        <f t="shared" si="33"/>
        <v>0</v>
      </c>
      <c r="BH100" s="339" t="str">
        <f t="shared" si="34"/>
        <v/>
      </c>
      <c r="BI100" s="340" t="str">
        <f t="shared" si="35"/>
        <v/>
      </c>
      <c r="BJ100" s="340">
        <f t="shared" si="36"/>
        <v>18</v>
      </c>
      <c r="BK100" s="340" t="str">
        <f t="shared" si="37"/>
        <v/>
      </c>
      <c r="BL100" s="340" t="str">
        <f t="shared" si="38"/>
        <v/>
      </c>
      <c r="BM100" s="340" t="str">
        <f t="shared" si="39"/>
        <v/>
      </c>
      <c r="BN100" s="340" t="str">
        <f t="shared" si="40"/>
        <v/>
      </c>
      <c r="BO100" s="340" t="str">
        <f t="shared" si="41"/>
        <v/>
      </c>
      <c r="BP100" s="340" t="str">
        <f t="shared" si="42"/>
        <v/>
      </c>
      <c r="BQ100" s="340" t="str">
        <f t="shared" si="43"/>
        <v/>
      </c>
      <c r="BR100" s="340" t="str">
        <f t="shared" si="44"/>
        <v/>
      </c>
      <c r="BS100" s="340" t="str">
        <f t="shared" si="45"/>
        <v/>
      </c>
      <c r="BT100" s="341" t="str">
        <f t="shared" si="46"/>
        <v/>
      </c>
      <c r="BU100" s="324"/>
    </row>
    <row r="101" spans="1:73" s="342" customFormat="1">
      <c r="A101" s="324"/>
      <c r="B101" s="324"/>
      <c r="C101" s="570"/>
      <c r="D101" s="572"/>
      <c r="E101" s="572"/>
      <c r="F101" s="327">
        <f t="shared" si="0"/>
        <v>0</v>
      </c>
      <c r="G101" s="570"/>
      <c r="H101" s="572"/>
      <c r="I101" s="572"/>
      <c r="J101" s="327">
        <f t="shared" si="1"/>
        <v>0</v>
      </c>
      <c r="K101" s="343">
        <f t="shared" si="2"/>
        <v>0</v>
      </c>
      <c r="L101" s="570"/>
      <c r="M101" s="570"/>
      <c r="N101" s="345">
        <f t="shared" si="3"/>
        <v>0</v>
      </c>
      <c r="O101" s="345">
        <v>0</v>
      </c>
      <c r="P101" s="346">
        <f t="shared" si="4"/>
        <v>0</v>
      </c>
      <c r="Q101" s="332" t="str">
        <f t="shared" si="5"/>
        <v/>
      </c>
      <c r="R101" s="332" t="str">
        <f t="shared" si="6"/>
        <v/>
      </c>
      <c r="S101" s="333" t="str">
        <f t="shared" si="7"/>
        <v/>
      </c>
      <c r="T101" s="333" t="str">
        <f t="shared" si="8"/>
        <v/>
      </c>
      <c r="U101" s="333" t="str">
        <f t="shared" si="9"/>
        <v/>
      </c>
      <c r="V101" s="333" t="str">
        <f t="shared" si="10"/>
        <v/>
      </c>
      <c r="W101" s="333" t="str">
        <f t="shared" si="11"/>
        <v/>
      </c>
      <c r="X101" s="333" t="str">
        <f t="shared" si="12"/>
        <v/>
      </c>
      <c r="Y101" s="333" t="str">
        <f t="shared" si="13"/>
        <v/>
      </c>
      <c r="Z101" s="333" t="str">
        <f t="shared" si="14"/>
        <v/>
      </c>
      <c r="AA101" s="333" t="str">
        <f t="shared" si="15"/>
        <v/>
      </c>
      <c r="AB101" s="333" t="str">
        <f t="shared" si="16"/>
        <v/>
      </c>
      <c r="AC101" s="334" t="str">
        <f t="shared" si="72"/>
        <v/>
      </c>
      <c r="AD101" s="335"/>
      <c r="AE101" s="336">
        <f t="shared" si="18"/>
        <v>0</v>
      </c>
      <c r="AF101" s="337">
        <f t="shared" si="19"/>
        <v>0</v>
      </c>
      <c r="AG101" s="338">
        <f t="shared" si="20"/>
        <v>0</v>
      </c>
      <c r="AH101" s="339">
        <v>0</v>
      </c>
      <c r="AI101" s="340">
        <v>0</v>
      </c>
      <c r="AJ101" s="340">
        <v>0</v>
      </c>
      <c r="AK101" s="340">
        <v>0</v>
      </c>
      <c r="AL101" s="340">
        <v>0</v>
      </c>
      <c r="AM101" s="340">
        <v>0</v>
      </c>
      <c r="AN101" s="340">
        <v>0</v>
      </c>
      <c r="AO101" s="340">
        <v>0</v>
      </c>
      <c r="AP101" s="340">
        <v>0</v>
      </c>
      <c r="AQ101" s="340">
        <v>0</v>
      </c>
      <c r="AR101" s="340">
        <v>0</v>
      </c>
      <c r="AS101" s="340">
        <v>0</v>
      </c>
      <c r="AT101" s="341">
        <v>0</v>
      </c>
      <c r="AU101" s="339">
        <f t="shared" si="21"/>
        <v>0</v>
      </c>
      <c r="AV101" s="340">
        <f t="shared" si="22"/>
        <v>0</v>
      </c>
      <c r="AW101" s="340">
        <f t="shared" si="23"/>
        <v>0</v>
      </c>
      <c r="AX101" s="340">
        <f t="shared" si="24"/>
        <v>0</v>
      </c>
      <c r="AY101" s="340">
        <f t="shared" si="25"/>
        <v>0</v>
      </c>
      <c r="AZ101" s="340">
        <f t="shared" si="26"/>
        <v>0</v>
      </c>
      <c r="BA101" s="340">
        <f t="shared" si="27"/>
        <v>0</v>
      </c>
      <c r="BB101" s="340">
        <f t="shared" si="28"/>
        <v>0</v>
      </c>
      <c r="BC101" s="340">
        <f t="shared" si="29"/>
        <v>0</v>
      </c>
      <c r="BD101" s="340">
        <f t="shared" si="30"/>
        <v>0</v>
      </c>
      <c r="BE101" s="340">
        <f t="shared" si="31"/>
        <v>0</v>
      </c>
      <c r="BF101" s="340">
        <f t="shared" si="32"/>
        <v>0</v>
      </c>
      <c r="BG101" s="340">
        <f t="shared" si="33"/>
        <v>0</v>
      </c>
      <c r="BH101" s="339" t="str">
        <f t="shared" si="34"/>
        <v/>
      </c>
      <c r="BI101" s="340" t="str">
        <f t="shared" si="35"/>
        <v/>
      </c>
      <c r="BJ101" s="340" t="str">
        <f t="shared" si="36"/>
        <v/>
      </c>
      <c r="BK101" s="340" t="str">
        <f t="shared" si="37"/>
        <v/>
      </c>
      <c r="BL101" s="340" t="str">
        <f t="shared" si="38"/>
        <v/>
      </c>
      <c r="BM101" s="340" t="str">
        <f t="shared" si="39"/>
        <v/>
      </c>
      <c r="BN101" s="340" t="str">
        <f t="shared" si="40"/>
        <v/>
      </c>
      <c r="BO101" s="340" t="str">
        <f t="shared" si="41"/>
        <v/>
      </c>
      <c r="BP101" s="340" t="str">
        <f t="shared" si="42"/>
        <v/>
      </c>
      <c r="BQ101" s="340" t="str">
        <f t="shared" si="43"/>
        <v/>
      </c>
      <c r="BR101" s="340" t="str">
        <f t="shared" si="44"/>
        <v/>
      </c>
      <c r="BS101" s="340" t="str">
        <f t="shared" si="45"/>
        <v/>
      </c>
      <c r="BT101" s="341" t="str">
        <f t="shared" si="46"/>
        <v/>
      </c>
      <c r="BU101" s="324"/>
    </row>
    <row r="102" spans="1:73" s="342" customFormat="1">
      <c r="A102" s="324"/>
      <c r="B102" s="324"/>
      <c r="C102" s="570" t="s">
        <v>524</v>
      </c>
      <c r="D102" s="572">
        <v>9</v>
      </c>
      <c r="E102" s="572">
        <v>7.5</v>
      </c>
      <c r="F102" s="327">
        <f t="shared" si="0"/>
        <v>1.5</v>
      </c>
      <c r="G102" s="570" t="s">
        <v>523</v>
      </c>
      <c r="H102" s="572">
        <v>9</v>
      </c>
      <c r="I102" s="572">
        <v>7.476</v>
      </c>
      <c r="J102" s="327">
        <f t="shared" si="1"/>
        <v>1.524</v>
      </c>
      <c r="K102" s="343">
        <f t="shared" si="2"/>
        <v>1.75</v>
      </c>
      <c r="L102" s="570">
        <v>9</v>
      </c>
      <c r="M102" s="570">
        <v>750</v>
      </c>
      <c r="N102" s="345">
        <f t="shared" si="3"/>
        <v>0</v>
      </c>
      <c r="O102" s="345">
        <v>0</v>
      </c>
      <c r="P102" s="346">
        <f t="shared" si="4"/>
        <v>0</v>
      </c>
      <c r="Q102" s="332" t="str">
        <f t="shared" si="5"/>
        <v/>
      </c>
      <c r="R102" s="332" t="str">
        <f t="shared" si="6"/>
        <v/>
      </c>
      <c r="S102" s="333" t="str">
        <f t="shared" si="7"/>
        <v/>
      </c>
      <c r="T102" s="333" t="str">
        <f t="shared" si="8"/>
        <v/>
      </c>
      <c r="U102" s="333" t="str">
        <f t="shared" si="9"/>
        <v/>
      </c>
      <c r="V102" s="333" t="str">
        <f t="shared" si="10"/>
        <v/>
      </c>
      <c r="W102" s="333" t="str">
        <f t="shared" si="11"/>
        <v/>
      </c>
      <c r="X102" s="333" t="str">
        <f t="shared" si="12"/>
        <v/>
      </c>
      <c r="Y102" s="333">
        <f t="shared" si="13"/>
        <v>0</v>
      </c>
      <c r="Z102" s="333" t="str">
        <f t="shared" si="14"/>
        <v/>
      </c>
      <c r="AA102" s="333" t="str">
        <f t="shared" si="15"/>
        <v/>
      </c>
      <c r="AB102" s="333" t="str">
        <f t="shared" si="16"/>
        <v/>
      </c>
      <c r="AC102" s="334" t="str">
        <f t="shared" si="72"/>
        <v/>
      </c>
      <c r="AD102" s="335"/>
      <c r="AE102" s="336">
        <f t="shared" si="18"/>
        <v>3.9740625000000001</v>
      </c>
      <c r="AF102" s="337">
        <f t="shared" si="19"/>
        <v>14.040000000000001</v>
      </c>
      <c r="AG102" s="338">
        <f t="shared" si="20"/>
        <v>9.4162500000000016</v>
      </c>
      <c r="AH102" s="339">
        <v>0</v>
      </c>
      <c r="AI102" s="340">
        <v>0</v>
      </c>
      <c r="AJ102" s="340">
        <v>0</v>
      </c>
      <c r="AK102" s="340">
        <v>0</v>
      </c>
      <c r="AL102" s="340">
        <v>0</v>
      </c>
      <c r="AM102" s="340">
        <v>0</v>
      </c>
      <c r="AN102" s="340">
        <v>0</v>
      </c>
      <c r="AO102" s="340">
        <v>0</v>
      </c>
      <c r="AP102" s="340">
        <v>0</v>
      </c>
      <c r="AQ102" s="340">
        <v>0</v>
      </c>
      <c r="AR102" s="340">
        <v>0</v>
      </c>
      <c r="AS102" s="340">
        <v>0</v>
      </c>
      <c r="AT102" s="341">
        <v>0</v>
      </c>
      <c r="AU102" s="339">
        <f t="shared" si="21"/>
        <v>0</v>
      </c>
      <c r="AV102" s="340">
        <f t="shared" si="22"/>
        <v>0</v>
      </c>
      <c r="AW102" s="340">
        <f t="shared" si="23"/>
        <v>0</v>
      </c>
      <c r="AX102" s="340">
        <f t="shared" si="24"/>
        <v>0</v>
      </c>
      <c r="AY102" s="340">
        <f t="shared" si="25"/>
        <v>0</v>
      </c>
      <c r="AZ102" s="340">
        <f t="shared" si="26"/>
        <v>0</v>
      </c>
      <c r="BA102" s="340">
        <f t="shared" si="27"/>
        <v>0</v>
      </c>
      <c r="BB102" s="340">
        <f t="shared" si="28"/>
        <v>0</v>
      </c>
      <c r="BC102" s="340">
        <f t="shared" si="29"/>
        <v>0</v>
      </c>
      <c r="BD102" s="340">
        <f t="shared" si="30"/>
        <v>0</v>
      </c>
      <c r="BE102" s="340">
        <f t="shared" si="31"/>
        <v>0</v>
      </c>
      <c r="BF102" s="340">
        <f t="shared" si="32"/>
        <v>0</v>
      </c>
      <c r="BG102" s="340">
        <f t="shared" si="33"/>
        <v>0</v>
      </c>
      <c r="BH102" s="339" t="str">
        <f t="shared" si="34"/>
        <v/>
      </c>
      <c r="BI102" s="340" t="str">
        <f t="shared" si="35"/>
        <v/>
      </c>
      <c r="BJ102" s="340" t="str">
        <f t="shared" si="36"/>
        <v/>
      </c>
      <c r="BK102" s="340" t="str">
        <f t="shared" si="37"/>
        <v/>
      </c>
      <c r="BL102" s="340" t="str">
        <f t="shared" si="38"/>
        <v/>
      </c>
      <c r="BM102" s="340" t="str">
        <f t="shared" si="39"/>
        <v/>
      </c>
      <c r="BN102" s="340" t="str">
        <f t="shared" si="40"/>
        <v/>
      </c>
      <c r="BO102" s="340" t="str">
        <f t="shared" si="41"/>
        <v/>
      </c>
      <c r="BP102" s="340">
        <f t="shared" si="42"/>
        <v>9</v>
      </c>
      <c r="BQ102" s="340" t="str">
        <f t="shared" si="43"/>
        <v/>
      </c>
      <c r="BR102" s="340" t="str">
        <f t="shared" si="44"/>
        <v/>
      </c>
      <c r="BS102" s="340" t="str">
        <f t="shared" si="45"/>
        <v/>
      </c>
      <c r="BT102" s="341" t="str">
        <f t="shared" si="46"/>
        <v/>
      </c>
      <c r="BU102" s="324"/>
    </row>
    <row r="103" spans="1:73" s="342" customFormat="1">
      <c r="A103" s="324"/>
      <c r="B103" s="324"/>
      <c r="C103" s="570" t="s">
        <v>523</v>
      </c>
      <c r="D103" s="572">
        <v>9</v>
      </c>
      <c r="E103" s="572">
        <v>7.476</v>
      </c>
      <c r="F103" s="327">
        <f t="shared" si="0"/>
        <v>1.524</v>
      </c>
      <c r="G103" s="570" t="s">
        <v>582</v>
      </c>
      <c r="H103" s="572">
        <v>9</v>
      </c>
      <c r="I103" s="572">
        <v>7.4660000000000002</v>
      </c>
      <c r="J103" s="327">
        <f t="shared" si="1"/>
        <v>1.5339999999999998</v>
      </c>
      <c r="K103" s="343">
        <f t="shared" si="2"/>
        <v>1.75</v>
      </c>
      <c r="L103" s="570">
        <v>8</v>
      </c>
      <c r="M103" s="570">
        <v>525</v>
      </c>
      <c r="N103" s="345">
        <f t="shared" si="3"/>
        <v>0</v>
      </c>
      <c r="O103" s="345">
        <v>0</v>
      </c>
      <c r="P103" s="346">
        <f t="shared" si="4"/>
        <v>0</v>
      </c>
      <c r="Q103" s="332" t="str">
        <f t="shared" si="5"/>
        <v/>
      </c>
      <c r="R103" s="332" t="str">
        <f t="shared" si="6"/>
        <v/>
      </c>
      <c r="S103" s="333" t="str">
        <f t="shared" si="7"/>
        <v/>
      </c>
      <c r="T103" s="333" t="str">
        <f t="shared" si="8"/>
        <v/>
      </c>
      <c r="U103" s="333" t="str">
        <f t="shared" si="9"/>
        <v/>
      </c>
      <c r="V103" s="333">
        <f t="shared" si="10"/>
        <v>0</v>
      </c>
      <c r="W103" s="333" t="str">
        <f t="shared" si="11"/>
        <v/>
      </c>
      <c r="X103" s="333" t="str">
        <f t="shared" si="12"/>
        <v/>
      </c>
      <c r="Y103" s="333" t="str">
        <f t="shared" si="13"/>
        <v/>
      </c>
      <c r="Z103" s="333" t="str">
        <f t="shared" si="14"/>
        <v/>
      </c>
      <c r="AA103" s="333" t="str">
        <f t="shared" si="15"/>
        <v/>
      </c>
      <c r="AB103" s="333" t="str">
        <f t="shared" si="16"/>
        <v/>
      </c>
      <c r="AC103" s="334" t="str">
        <f t="shared" si="72"/>
        <v/>
      </c>
      <c r="AD103" s="335"/>
      <c r="AE103" s="336">
        <f t="shared" si="18"/>
        <v>1.730925</v>
      </c>
      <c r="AF103" s="337">
        <f t="shared" si="19"/>
        <v>10.14</v>
      </c>
      <c r="AG103" s="338">
        <f t="shared" si="20"/>
        <v>8.370000000000001</v>
      </c>
      <c r="AH103" s="339">
        <v>0</v>
      </c>
      <c r="AI103" s="340">
        <v>0</v>
      </c>
      <c r="AJ103" s="340">
        <v>0</v>
      </c>
      <c r="AK103" s="340">
        <v>0</v>
      </c>
      <c r="AL103" s="340">
        <v>0</v>
      </c>
      <c r="AM103" s="340">
        <v>0</v>
      </c>
      <c r="AN103" s="340">
        <v>0</v>
      </c>
      <c r="AO103" s="340">
        <v>0</v>
      </c>
      <c r="AP103" s="340">
        <v>0</v>
      </c>
      <c r="AQ103" s="340">
        <v>0</v>
      </c>
      <c r="AR103" s="340">
        <v>0</v>
      </c>
      <c r="AS103" s="340">
        <v>0</v>
      </c>
      <c r="AT103" s="341">
        <v>0</v>
      </c>
      <c r="AU103" s="339">
        <f t="shared" si="21"/>
        <v>0</v>
      </c>
      <c r="AV103" s="340">
        <f t="shared" si="22"/>
        <v>0</v>
      </c>
      <c r="AW103" s="340">
        <f t="shared" si="23"/>
        <v>0</v>
      </c>
      <c r="AX103" s="340">
        <f t="shared" si="24"/>
        <v>0</v>
      </c>
      <c r="AY103" s="340">
        <f t="shared" si="25"/>
        <v>0</v>
      </c>
      <c r="AZ103" s="340">
        <f t="shared" si="26"/>
        <v>0</v>
      </c>
      <c r="BA103" s="340">
        <f t="shared" si="27"/>
        <v>0</v>
      </c>
      <c r="BB103" s="340">
        <f t="shared" si="28"/>
        <v>0</v>
      </c>
      <c r="BC103" s="340">
        <f t="shared" si="29"/>
        <v>0</v>
      </c>
      <c r="BD103" s="340">
        <f t="shared" si="30"/>
        <v>0</v>
      </c>
      <c r="BE103" s="340">
        <f t="shared" si="31"/>
        <v>0</v>
      </c>
      <c r="BF103" s="340">
        <f t="shared" si="32"/>
        <v>0</v>
      </c>
      <c r="BG103" s="340">
        <f t="shared" si="33"/>
        <v>0</v>
      </c>
      <c r="BH103" s="339" t="str">
        <f t="shared" si="34"/>
        <v/>
      </c>
      <c r="BI103" s="340" t="str">
        <f t="shared" si="35"/>
        <v/>
      </c>
      <c r="BJ103" s="340" t="str">
        <f t="shared" si="36"/>
        <v/>
      </c>
      <c r="BK103" s="340" t="str">
        <f t="shared" si="37"/>
        <v/>
      </c>
      <c r="BL103" s="340" t="str">
        <f t="shared" si="38"/>
        <v/>
      </c>
      <c r="BM103" s="340">
        <f t="shared" si="39"/>
        <v>8</v>
      </c>
      <c r="BN103" s="340" t="str">
        <f t="shared" si="40"/>
        <v/>
      </c>
      <c r="BO103" s="340" t="str">
        <f t="shared" si="41"/>
        <v/>
      </c>
      <c r="BP103" s="340" t="str">
        <f t="shared" si="42"/>
        <v/>
      </c>
      <c r="BQ103" s="340" t="str">
        <f t="shared" si="43"/>
        <v/>
      </c>
      <c r="BR103" s="340" t="str">
        <f t="shared" si="44"/>
        <v/>
      </c>
      <c r="BS103" s="340" t="str">
        <f t="shared" si="45"/>
        <v/>
      </c>
      <c r="BT103" s="341" t="str">
        <f t="shared" si="46"/>
        <v/>
      </c>
      <c r="BU103" s="324"/>
    </row>
    <row r="104" spans="1:73" s="342" customFormat="1">
      <c r="A104" s="324"/>
      <c r="B104" s="324"/>
      <c r="C104" s="325"/>
      <c r="D104" s="326"/>
      <c r="E104" s="326"/>
      <c r="F104" s="327">
        <f t="shared" si="0"/>
        <v>0</v>
      </c>
      <c r="G104" s="325"/>
      <c r="H104" s="326"/>
      <c r="I104" s="326"/>
      <c r="J104" s="327">
        <f t="shared" si="1"/>
        <v>0</v>
      </c>
      <c r="K104" s="343">
        <f t="shared" si="2"/>
        <v>0</v>
      </c>
      <c r="L104" s="325"/>
      <c r="M104" s="344"/>
      <c r="N104" s="345">
        <f t="shared" si="3"/>
        <v>0</v>
      </c>
      <c r="O104" s="345">
        <v>0</v>
      </c>
      <c r="P104" s="346">
        <f t="shared" si="4"/>
        <v>0</v>
      </c>
      <c r="Q104" s="332" t="str">
        <f t="shared" si="5"/>
        <v/>
      </c>
      <c r="R104" s="332" t="str">
        <f t="shared" si="6"/>
        <v/>
      </c>
      <c r="S104" s="333" t="str">
        <f t="shared" si="7"/>
        <v/>
      </c>
      <c r="T104" s="333" t="str">
        <f t="shared" si="8"/>
        <v/>
      </c>
      <c r="U104" s="333" t="str">
        <f t="shared" si="9"/>
        <v/>
      </c>
      <c r="V104" s="333" t="str">
        <f t="shared" si="10"/>
        <v/>
      </c>
      <c r="W104" s="333" t="str">
        <f t="shared" si="11"/>
        <v/>
      </c>
      <c r="X104" s="333" t="str">
        <f t="shared" si="12"/>
        <v/>
      </c>
      <c r="Y104" s="333" t="str">
        <f t="shared" si="13"/>
        <v/>
      </c>
      <c r="Z104" s="333" t="str">
        <f t="shared" si="14"/>
        <v/>
      </c>
      <c r="AA104" s="333" t="str">
        <f t="shared" si="15"/>
        <v/>
      </c>
      <c r="AB104" s="333" t="str">
        <f t="shared" si="16"/>
        <v/>
      </c>
      <c r="AC104" s="334" t="str">
        <f t="shared" si="72"/>
        <v/>
      </c>
      <c r="AD104" s="335"/>
      <c r="AE104" s="336">
        <f t="shared" si="18"/>
        <v>0</v>
      </c>
      <c r="AF104" s="337">
        <f t="shared" si="19"/>
        <v>0</v>
      </c>
      <c r="AG104" s="338">
        <f t="shared" si="20"/>
        <v>0</v>
      </c>
      <c r="AH104" s="339">
        <v>0</v>
      </c>
      <c r="AI104" s="340">
        <v>0</v>
      </c>
      <c r="AJ104" s="340">
        <v>0</v>
      </c>
      <c r="AK104" s="340">
        <v>0</v>
      </c>
      <c r="AL104" s="340">
        <v>0</v>
      </c>
      <c r="AM104" s="340">
        <v>0</v>
      </c>
      <c r="AN104" s="340">
        <v>0</v>
      </c>
      <c r="AO104" s="340">
        <v>0</v>
      </c>
      <c r="AP104" s="340">
        <v>0</v>
      </c>
      <c r="AQ104" s="340">
        <v>0</v>
      </c>
      <c r="AR104" s="340">
        <v>0</v>
      </c>
      <c r="AS104" s="340">
        <v>0</v>
      </c>
      <c r="AT104" s="341">
        <v>0</v>
      </c>
      <c r="AU104" s="339">
        <f t="shared" si="21"/>
        <v>0</v>
      </c>
      <c r="AV104" s="340">
        <f t="shared" si="22"/>
        <v>0</v>
      </c>
      <c r="AW104" s="340">
        <f t="shared" si="23"/>
        <v>0</v>
      </c>
      <c r="AX104" s="340">
        <f t="shared" si="24"/>
        <v>0</v>
      </c>
      <c r="AY104" s="340">
        <f t="shared" si="25"/>
        <v>0</v>
      </c>
      <c r="AZ104" s="340">
        <f t="shared" si="26"/>
        <v>0</v>
      </c>
      <c r="BA104" s="340">
        <f t="shared" si="27"/>
        <v>0</v>
      </c>
      <c r="BB104" s="340">
        <f t="shared" si="28"/>
        <v>0</v>
      </c>
      <c r="BC104" s="340">
        <f t="shared" si="29"/>
        <v>0</v>
      </c>
      <c r="BD104" s="340">
        <f t="shared" si="30"/>
        <v>0</v>
      </c>
      <c r="BE104" s="340">
        <f t="shared" si="31"/>
        <v>0</v>
      </c>
      <c r="BF104" s="340">
        <f t="shared" si="32"/>
        <v>0</v>
      </c>
      <c r="BG104" s="340">
        <f t="shared" si="33"/>
        <v>0</v>
      </c>
      <c r="BH104" s="339" t="str">
        <f t="shared" si="34"/>
        <v/>
      </c>
      <c r="BI104" s="340" t="str">
        <f t="shared" si="35"/>
        <v/>
      </c>
      <c r="BJ104" s="340" t="str">
        <f t="shared" si="36"/>
        <v/>
      </c>
      <c r="BK104" s="340" t="str">
        <f t="shared" si="37"/>
        <v/>
      </c>
      <c r="BL104" s="340" t="str">
        <f t="shared" si="38"/>
        <v/>
      </c>
      <c r="BM104" s="340" t="str">
        <f t="shared" si="39"/>
        <v/>
      </c>
      <c r="BN104" s="340" t="str">
        <f t="shared" si="40"/>
        <v/>
      </c>
      <c r="BO104" s="340" t="str">
        <f t="shared" si="41"/>
        <v/>
      </c>
      <c r="BP104" s="340" t="str">
        <f t="shared" si="42"/>
        <v/>
      </c>
      <c r="BQ104" s="340" t="str">
        <f t="shared" si="43"/>
        <v/>
      </c>
      <c r="BR104" s="340" t="str">
        <f t="shared" si="44"/>
        <v/>
      </c>
      <c r="BS104" s="340" t="str">
        <f t="shared" si="45"/>
        <v/>
      </c>
      <c r="BT104" s="341" t="str">
        <f t="shared" si="46"/>
        <v/>
      </c>
      <c r="BU104" s="324"/>
    </row>
    <row r="105" spans="1:73" s="342" customFormat="1">
      <c r="A105" s="324"/>
      <c r="B105" s="324"/>
      <c r="C105" s="325" t="s">
        <v>142</v>
      </c>
      <c r="D105" s="326"/>
      <c r="E105" s="326"/>
      <c r="F105" s="327">
        <f t="shared" si="0"/>
        <v>0</v>
      </c>
      <c r="G105" s="325" t="s">
        <v>142</v>
      </c>
      <c r="H105" s="326"/>
      <c r="I105" s="326"/>
      <c r="J105" s="327">
        <f t="shared" si="1"/>
        <v>0</v>
      </c>
      <c r="K105" s="343">
        <f t="shared" si="2"/>
        <v>0</v>
      </c>
      <c r="L105" s="325"/>
      <c r="M105" s="344"/>
      <c r="N105" s="345">
        <f t="shared" si="3"/>
        <v>0</v>
      </c>
      <c r="O105" s="345">
        <v>0</v>
      </c>
      <c r="P105" s="346">
        <f t="shared" si="4"/>
        <v>0</v>
      </c>
      <c r="Q105" s="332" t="str">
        <f t="shared" si="5"/>
        <v/>
      </c>
      <c r="R105" s="332" t="str">
        <f t="shared" si="6"/>
        <v/>
      </c>
      <c r="S105" s="333" t="str">
        <f t="shared" si="7"/>
        <v/>
      </c>
      <c r="T105" s="333" t="str">
        <f t="shared" si="8"/>
        <v/>
      </c>
      <c r="U105" s="333" t="str">
        <f t="shared" si="9"/>
        <v/>
      </c>
      <c r="V105" s="333" t="str">
        <f t="shared" si="10"/>
        <v/>
      </c>
      <c r="W105" s="333" t="str">
        <f t="shared" si="11"/>
        <v/>
      </c>
      <c r="X105" s="333" t="str">
        <f t="shared" si="12"/>
        <v/>
      </c>
      <c r="Y105" s="333" t="str">
        <f t="shared" si="13"/>
        <v/>
      </c>
      <c r="Z105" s="333" t="str">
        <f t="shared" si="14"/>
        <v/>
      </c>
      <c r="AA105" s="333" t="str">
        <f t="shared" si="15"/>
        <v/>
      </c>
      <c r="AB105" s="333" t="str">
        <f t="shared" si="16"/>
        <v/>
      </c>
      <c r="AC105" s="334" t="str">
        <f t="shared" si="72"/>
        <v/>
      </c>
      <c r="AD105" s="335"/>
      <c r="AE105" s="336">
        <f t="shared" si="18"/>
        <v>0</v>
      </c>
      <c r="AF105" s="337">
        <f t="shared" si="19"/>
        <v>0</v>
      </c>
      <c r="AG105" s="338">
        <f t="shared" si="20"/>
        <v>0</v>
      </c>
      <c r="AH105" s="339">
        <v>0</v>
      </c>
      <c r="AI105" s="340">
        <v>0</v>
      </c>
      <c r="AJ105" s="340">
        <v>0</v>
      </c>
      <c r="AK105" s="340">
        <v>0</v>
      </c>
      <c r="AL105" s="340">
        <v>0</v>
      </c>
      <c r="AM105" s="340">
        <v>0</v>
      </c>
      <c r="AN105" s="340">
        <v>0</v>
      </c>
      <c r="AO105" s="340">
        <v>0</v>
      </c>
      <c r="AP105" s="340">
        <v>0</v>
      </c>
      <c r="AQ105" s="340">
        <v>0</v>
      </c>
      <c r="AR105" s="340">
        <v>0</v>
      </c>
      <c r="AS105" s="340">
        <v>0</v>
      </c>
      <c r="AT105" s="341">
        <v>0</v>
      </c>
      <c r="AU105" s="339">
        <f t="shared" si="21"/>
        <v>0</v>
      </c>
      <c r="AV105" s="340">
        <f t="shared" si="22"/>
        <v>0</v>
      </c>
      <c r="AW105" s="340">
        <f t="shared" si="23"/>
        <v>0</v>
      </c>
      <c r="AX105" s="340">
        <f t="shared" si="24"/>
        <v>0</v>
      </c>
      <c r="AY105" s="340">
        <f t="shared" si="25"/>
        <v>0</v>
      </c>
      <c r="AZ105" s="340">
        <f t="shared" si="26"/>
        <v>0</v>
      </c>
      <c r="BA105" s="340">
        <f t="shared" si="27"/>
        <v>0</v>
      </c>
      <c r="BB105" s="340">
        <f t="shared" si="28"/>
        <v>0</v>
      </c>
      <c r="BC105" s="340">
        <f t="shared" si="29"/>
        <v>0</v>
      </c>
      <c r="BD105" s="340">
        <f t="shared" si="30"/>
        <v>0</v>
      </c>
      <c r="BE105" s="340">
        <f t="shared" si="31"/>
        <v>0</v>
      </c>
      <c r="BF105" s="340">
        <f t="shared" si="32"/>
        <v>0</v>
      </c>
      <c r="BG105" s="340">
        <f t="shared" si="33"/>
        <v>0</v>
      </c>
      <c r="BH105" s="339" t="str">
        <f t="shared" si="34"/>
        <v/>
      </c>
      <c r="BI105" s="340" t="str">
        <f t="shared" si="35"/>
        <v/>
      </c>
      <c r="BJ105" s="340" t="str">
        <f t="shared" si="36"/>
        <v/>
      </c>
      <c r="BK105" s="340" t="str">
        <f t="shared" si="37"/>
        <v/>
      </c>
      <c r="BL105" s="340" t="str">
        <f t="shared" si="38"/>
        <v/>
      </c>
      <c r="BM105" s="340" t="str">
        <f t="shared" si="39"/>
        <v/>
      </c>
      <c r="BN105" s="340" t="str">
        <f t="shared" si="40"/>
        <v/>
      </c>
      <c r="BO105" s="340" t="str">
        <f t="shared" si="41"/>
        <v/>
      </c>
      <c r="BP105" s="340" t="str">
        <f t="shared" si="42"/>
        <v/>
      </c>
      <c r="BQ105" s="340" t="str">
        <f t="shared" si="43"/>
        <v/>
      </c>
      <c r="BR105" s="340" t="str">
        <f t="shared" si="44"/>
        <v/>
      </c>
      <c r="BS105" s="340" t="str">
        <f t="shared" si="45"/>
        <v/>
      </c>
      <c r="BT105" s="341" t="str">
        <f t="shared" si="46"/>
        <v/>
      </c>
      <c r="BU105" s="324"/>
    </row>
    <row r="106" spans="1:73" s="342" customFormat="1">
      <c r="A106" s="324"/>
      <c r="B106" s="324"/>
      <c r="C106" s="325" t="s">
        <v>142</v>
      </c>
      <c r="D106" s="326"/>
      <c r="E106" s="326"/>
      <c r="F106" s="327">
        <f t="shared" si="0"/>
        <v>0</v>
      </c>
      <c r="G106" s="325" t="s">
        <v>142</v>
      </c>
      <c r="H106" s="326"/>
      <c r="I106" s="326"/>
      <c r="J106" s="327">
        <f t="shared" si="1"/>
        <v>0</v>
      </c>
      <c r="K106" s="343">
        <f t="shared" si="2"/>
        <v>0</v>
      </c>
      <c r="L106" s="325"/>
      <c r="M106" s="344"/>
      <c r="N106" s="345">
        <f t="shared" si="3"/>
        <v>0</v>
      </c>
      <c r="O106" s="345">
        <v>0</v>
      </c>
      <c r="P106" s="346">
        <f t="shared" si="4"/>
        <v>0</v>
      </c>
      <c r="Q106" s="332" t="str">
        <f t="shared" si="5"/>
        <v/>
      </c>
      <c r="R106" s="332" t="str">
        <f t="shared" si="6"/>
        <v/>
      </c>
      <c r="S106" s="333" t="str">
        <f t="shared" si="7"/>
        <v/>
      </c>
      <c r="T106" s="333" t="str">
        <f t="shared" si="8"/>
        <v/>
      </c>
      <c r="U106" s="333" t="str">
        <f t="shared" si="9"/>
        <v/>
      </c>
      <c r="V106" s="333" t="str">
        <f t="shared" si="10"/>
        <v/>
      </c>
      <c r="W106" s="333" t="str">
        <f t="shared" si="11"/>
        <v/>
      </c>
      <c r="X106" s="333" t="str">
        <f t="shared" si="12"/>
        <v/>
      </c>
      <c r="Y106" s="333" t="str">
        <f t="shared" si="13"/>
        <v/>
      </c>
      <c r="Z106" s="333" t="str">
        <f t="shared" si="14"/>
        <v/>
      </c>
      <c r="AA106" s="333" t="str">
        <f t="shared" si="15"/>
        <v/>
      </c>
      <c r="AB106" s="333" t="str">
        <f t="shared" si="16"/>
        <v/>
      </c>
      <c r="AC106" s="334" t="str">
        <f t="shared" si="72"/>
        <v/>
      </c>
      <c r="AD106" s="335"/>
      <c r="AE106" s="336">
        <f t="shared" si="18"/>
        <v>0</v>
      </c>
      <c r="AF106" s="337">
        <f t="shared" si="19"/>
        <v>0</v>
      </c>
      <c r="AG106" s="338">
        <f t="shared" si="20"/>
        <v>0</v>
      </c>
      <c r="AH106" s="339">
        <v>0</v>
      </c>
      <c r="AI106" s="340">
        <v>0</v>
      </c>
      <c r="AJ106" s="340">
        <v>0</v>
      </c>
      <c r="AK106" s="340">
        <v>0</v>
      </c>
      <c r="AL106" s="340">
        <v>0</v>
      </c>
      <c r="AM106" s="340">
        <v>0</v>
      </c>
      <c r="AN106" s="340">
        <v>0</v>
      </c>
      <c r="AO106" s="340">
        <v>0</v>
      </c>
      <c r="AP106" s="340">
        <v>0</v>
      </c>
      <c r="AQ106" s="340">
        <v>0</v>
      </c>
      <c r="AR106" s="340">
        <v>0</v>
      </c>
      <c r="AS106" s="340">
        <v>0</v>
      </c>
      <c r="AT106" s="341">
        <v>0</v>
      </c>
      <c r="AU106" s="339">
        <f t="shared" si="21"/>
        <v>0</v>
      </c>
      <c r="AV106" s="340">
        <f t="shared" si="22"/>
        <v>0</v>
      </c>
      <c r="AW106" s="340">
        <f t="shared" si="23"/>
        <v>0</v>
      </c>
      <c r="AX106" s="340">
        <f t="shared" si="24"/>
        <v>0</v>
      </c>
      <c r="AY106" s="340">
        <f t="shared" si="25"/>
        <v>0</v>
      </c>
      <c r="AZ106" s="340">
        <f t="shared" si="26"/>
        <v>0</v>
      </c>
      <c r="BA106" s="340">
        <f t="shared" si="27"/>
        <v>0</v>
      </c>
      <c r="BB106" s="340">
        <f t="shared" si="28"/>
        <v>0</v>
      </c>
      <c r="BC106" s="340">
        <f t="shared" si="29"/>
        <v>0</v>
      </c>
      <c r="BD106" s="340">
        <f t="shared" si="30"/>
        <v>0</v>
      </c>
      <c r="BE106" s="340">
        <f t="shared" si="31"/>
        <v>0</v>
      </c>
      <c r="BF106" s="340">
        <f t="shared" si="32"/>
        <v>0</v>
      </c>
      <c r="BG106" s="340">
        <f t="shared" si="33"/>
        <v>0</v>
      </c>
      <c r="BH106" s="339" t="str">
        <f t="shared" si="34"/>
        <v/>
      </c>
      <c r="BI106" s="340" t="str">
        <f t="shared" si="35"/>
        <v/>
      </c>
      <c r="BJ106" s="340" t="str">
        <f t="shared" si="36"/>
        <v/>
      </c>
      <c r="BK106" s="340" t="str">
        <f t="shared" si="37"/>
        <v/>
      </c>
      <c r="BL106" s="340" t="str">
        <f t="shared" si="38"/>
        <v/>
      </c>
      <c r="BM106" s="340" t="str">
        <f t="shared" si="39"/>
        <v/>
      </c>
      <c r="BN106" s="340" t="str">
        <f t="shared" si="40"/>
        <v/>
      </c>
      <c r="BO106" s="340" t="str">
        <f t="shared" si="41"/>
        <v/>
      </c>
      <c r="BP106" s="340" t="str">
        <f t="shared" si="42"/>
        <v/>
      </c>
      <c r="BQ106" s="340" t="str">
        <f t="shared" si="43"/>
        <v/>
      </c>
      <c r="BR106" s="340" t="str">
        <f t="shared" si="44"/>
        <v/>
      </c>
      <c r="BS106" s="340" t="str">
        <f t="shared" si="45"/>
        <v/>
      </c>
      <c r="BT106" s="341" t="str">
        <f t="shared" si="46"/>
        <v/>
      </c>
      <c r="BU106" s="324"/>
    </row>
    <row r="107" spans="1:73" s="342" customFormat="1">
      <c r="A107" s="324"/>
      <c r="B107" s="324"/>
      <c r="C107" s="325" t="s">
        <v>142</v>
      </c>
      <c r="D107" s="326"/>
      <c r="E107" s="326"/>
      <c r="F107" s="327">
        <f t="shared" si="0"/>
        <v>0</v>
      </c>
      <c r="G107" s="325" t="s">
        <v>142</v>
      </c>
      <c r="H107" s="326"/>
      <c r="I107" s="326"/>
      <c r="J107" s="327">
        <f t="shared" si="1"/>
        <v>0</v>
      </c>
      <c r="K107" s="343">
        <f t="shared" si="2"/>
        <v>0</v>
      </c>
      <c r="L107" s="325"/>
      <c r="M107" s="344"/>
      <c r="N107" s="345">
        <f t="shared" si="3"/>
        <v>0</v>
      </c>
      <c r="O107" s="345">
        <v>0</v>
      </c>
      <c r="P107" s="346">
        <f t="shared" si="4"/>
        <v>0</v>
      </c>
      <c r="Q107" s="332" t="str">
        <f t="shared" si="5"/>
        <v/>
      </c>
      <c r="R107" s="332" t="str">
        <f t="shared" si="6"/>
        <v/>
      </c>
      <c r="S107" s="333" t="str">
        <f t="shared" si="7"/>
        <v/>
      </c>
      <c r="T107" s="333" t="str">
        <f t="shared" si="8"/>
        <v/>
      </c>
      <c r="U107" s="333" t="str">
        <f t="shared" si="9"/>
        <v/>
      </c>
      <c r="V107" s="333" t="str">
        <f t="shared" si="10"/>
        <v/>
      </c>
      <c r="W107" s="333" t="str">
        <f t="shared" si="11"/>
        <v/>
      </c>
      <c r="X107" s="333" t="str">
        <f t="shared" si="12"/>
        <v/>
      </c>
      <c r="Y107" s="333" t="str">
        <f t="shared" si="13"/>
        <v/>
      </c>
      <c r="Z107" s="333" t="str">
        <f t="shared" si="14"/>
        <v/>
      </c>
      <c r="AA107" s="333" t="str">
        <f t="shared" si="15"/>
        <v/>
      </c>
      <c r="AB107" s="333" t="str">
        <f t="shared" si="16"/>
        <v/>
      </c>
      <c r="AC107" s="334" t="str">
        <f t="shared" si="72"/>
        <v/>
      </c>
      <c r="AD107" s="335"/>
      <c r="AE107" s="336">
        <f t="shared" si="18"/>
        <v>0</v>
      </c>
      <c r="AF107" s="337">
        <f t="shared" si="19"/>
        <v>0</v>
      </c>
      <c r="AG107" s="338">
        <f t="shared" si="20"/>
        <v>0</v>
      </c>
      <c r="AH107" s="339">
        <v>0</v>
      </c>
      <c r="AI107" s="340">
        <v>0</v>
      </c>
      <c r="AJ107" s="340">
        <v>0</v>
      </c>
      <c r="AK107" s="340">
        <v>0</v>
      </c>
      <c r="AL107" s="340">
        <v>0</v>
      </c>
      <c r="AM107" s="340">
        <v>0</v>
      </c>
      <c r="AN107" s="340">
        <v>0</v>
      </c>
      <c r="AO107" s="340">
        <v>0</v>
      </c>
      <c r="AP107" s="340">
        <v>0</v>
      </c>
      <c r="AQ107" s="340">
        <v>0</v>
      </c>
      <c r="AR107" s="340">
        <v>0</v>
      </c>
      <c r="AS107" s="340">
        <v>0</v>
      </c>
      <c r="AT107" s="341">
        <v>0</v>
      </c>
      <c r="AU107" s="339">
        <f t="shared" si="21"/>
        <v>0</v>
      </c>
      <c r="AV107" s="340">
        <f t="shared" si="22"/>
        <v>0</v>
      </c>
      <c r="AW107" s="340">
        <f t="shared" si="23"/>
        <v>0</v>
      </c>
      <c r="AX107" s="340">
        <f t="shared" si="24"/>
        <v>0</v>
      </c>
      <c r="AY107" s="340">
        <f t="shared" si="25"/>
        <v>0</v>
      </c>
      <c r="AZ107" s="340">
        <f t="shared" si="26"/>
        <v>0</v>
      </c>
      <c r="BA107" s="340">
        <f t="shared" si="27"/>
        <v>0</v>
      </c>
      <c r="BB107" s="340">
        <f t="shared" si="28"/>
        <v>0</v>
      </c>
      <c r="BC107" s="340">
        <f t="shared" si="29"/>
        <v>0</v>
      </c>
      <c r="BD107" s="340">
        <f t="shared" si="30"/>
        <v>0</v>
      </c>
      <c r="BE107" s="340">
        <f t="shared" si="31"/>
        <v>0</v>
      </c>
      <c r="BF107" s="340">
        <f t="shared" si="32"/>
        <v>0</v>
      </c>
      <c r="BG107" s="340">
        <f t="shared" si="33"/>
        <v>0</v>
      </c>
      <c r="BH107" s="339" t="str">
        <f t="shared" si="34"/>
        <v/>
      </c>
      <c r="BI107" s="340" t="str">
        <f t="shared" si="35"/>
        <v/>
      </c>
      <c r="BJ107" s="340" t="str">
        <f t="shared" si="36"/>
        <v/>
      </c>
      <c r="BK107" s="340" t="str">
        <f t="shared" si="37"/>
        <v/>
      </c>
      <c r="BL107" s="340" t="str">
        <f t="shared" si="38"/>
        <v/>
      </c>
      <c r="BM107" s="340" t="str">
        <f t="shared" si="39"/>
        <v/>
      </c>
      <c r="BN107" s="340" t="str">
        <f t="shared" si="40"/>
        <v/>
      </c>
      <c r="BO107" s="340" t="str">
        <f t="shared" si="41"/>
        <v/>
      </c>
      <c r="BP107" s="340" t="str">
        <f t="shared" si="42"/>
        <v/>
      </c>
      <c r="BQ107" s="340" t="str">
        <f t="shared" si="43"/>
        <v/>
      </c>
      <c r="BR107" s="340" t="str">
        <f t="shared" si="44"/>
        <v/>
      </c>
      <c r="BS107" s="340" t="str">
        <f t="shared" si="45"/>
        <v/>
      </c>
      <c r="BT107" s="341" t="str">
        <f t="shared" si="46"/>
        <v/>
      </c>
      <c r="BU107" s="324"/>
    </row>
    <row r="108" spans="1:73" s="342" customFormat="1">
      <c r="A108" s="324"/>
      <c r="B108" s="324"/>
      <c r="C108" s="325" t="s">
        <v>142</v>
      </c>
      <c r="D108" s="326"/>
      <c r="E108" s="326"/>
      <c r="F108" s="327">
        <f t="shared" si="0"/>
        <v>0</v>
      </c>
      <c r="G108" s="325" t="s">
        <v>142</v>
      </c>
      <c r="H108" s="326"/>
      <c r="I108" s="326"/>
      <c r="J108" s="327">
        <f t="shared" si="1"/>
        <v>0</v>
      </c>
      <c r="K108" s="343">
        <f t="shared" si="2"/>
        <v>0</v>
      </c>
      <c r="L108" s="325"/>
      <c r="M108" s="344"/>
      <c r="N108" s="345">
        <f t="shared" si="3"/>
        <v>0</v>
      </c>
      <c r="O108" s="345">
        <v>0</v>
      </c>
      <c r="P108" s="346">
        <f t="shared" si="4"/>
        <v>0</v>
      </c>
      <c r="Q108" s="332" t="str">
        <f t="shared" si="5"/>
        <v/>
      </c>
      <c r="R108" s="332" t="str">
        <f t="shared" si="6"/>
        <v/>
      </c>
      <c r="S108" s="333" t="str">
        <f t="shared" si="7"/>
        <v/>
      </c>
      <c r="T108" s="333" t="str">
        <f t="shared" si="8"/>
        <v/>
      </c>
      <c r="U108" s="333" t="str">
        <f t="shared" si="9"/>
        <v/>
      </c>
      <c r="V108" s="333" t="str">
        <f t="shared" si="10"/>
        <v/>
      </c>
      <c r="W108" s="333" t="str">
        <f t="shared" si="11"/>
        <v/>
      </c>
      <c r="X108" s="333" t="str">
        <f t="shared" si="12"/>
        <v/>
      </c>
      <c r="Y108" s="333" t="str">
        <f t="shared" si="13"/>
        <v/>
      </c>
      <c r="Z108" s="333" t="str">
        <f t="shared" si="14"/>
        <v/>
      </c>
      <c r="AA108" s="333" t="str">
        <f t="shared" si="15"/>
        <v/>
      </c>
      <c r="AB108" s="333" t="str">
        <f t="shared" si="16"/>
        <v/>
      </c>
      <c r="AC108" s="334" t="str">
        <f t="shared" si="72"/>
        <v/>
      </c>
      <c r="AD108" s="335"/>
      <c r="AE108" s="336">
        <f t="shared" si="18"/>
        <v>0</v>
      </c>
      <c r="AF108" s="337">
        <f t="shared" si="19"/>
        <v>0</v>
      </c>
      <c r="AG108" s="338">
        <f t="shared" si="20"/>
        <v>0</v>
      </c>
      <c r="AH108" s="339">
        <v>0</v>
      </c>
      <c r="AI108" s="340">
        <v>0</v>
      </c>
      <c r="AJ108" s="340">
        <v>0</v>
      </c>
      <c r="AK108" s="340">
        <v>0</v>
      </c>
      <c r="AL108" s="340">
        <v>0</v>
      </c>
      <c r="AM108" s="340">
        <v>0</v>
      </c>
      <c r="AN108" s="340">
        <v>0</v>
      </c>
      <c r="AO108" s="340">
        <v>0</v>
      </c>
      <c r="AP108" s="340">
        <v>0</v>
      </c>
      <c r="AQ108" s="340">
        <v>0</v>
      </c>
      <c r="AR108" s="340">
        <v>0</v>
      </c>
      <c r="AS108" s="340">
        <v>0</v>
      </c>
      <c r="AT108" s="341">
        <v>0</v>
      </c>
      <c r="AU108" s="339">
        <f t="shared" si="21"/>
        <v>0</v>
      </c>
      <c r="AV108" s="340">
        <f t="shared" si="22"/>
        <v>0</v>
      </c>
      <c r="AW108" s="340">
        <f t="shared" si="23"/>
        <v>0</v>
      </c>
      <c r="AX108" s="340">
        <f t="shared" si="24"/>
        <v>0</v>
      </c>
      <c r="AY108" s="340">
        <f t="shared" si="25"/>
        <v>0</v>
      </c>
      <c r="AZ108" s="340">
        <f t="shared" si="26"/>
        <v>0</v>
      </c>
      <c r="BA108" s="340">
        <f t="shared" si="27"/>
        <v>0</v>
      </c>
      <c r="BB108" s="340">
        <f t="shared" si="28"/>
        <v>0</v>
      </c>
      <c r="BC108" s="340">
        <f t="shared" si="29"/>
        <v>0</v>
      </c>
      <c r="BD108" s="340">
        <f t="shared" si="30"/>
        <v>0</v>
      </c>
      <c r="BE108" s="340">
        <f t="shared" si="31"/>
        <v>0</v>
      </c>
      <c r="BF108" s="340">
        <f t="shared" si="32"/>
        <v>0</v>
      </c>
      <c r="BG108" s="340">
        <f t="shared" si="33"/>
        <v>0</v>
      </c>
      <c r="BH108" s="339" t="str">
        <f t="shared" si="34"/>
        <v/>
      </c>
      <c r="BI108" s="340" t="str">
        <f t="shared" si="35"/>
        <v/>
      </c>
      <c r="BJ108" s="340" t="str">
        <f t="shared" si="36"/>
        <v/>
      </c>
      <c r="BK108" s="340" t="str">
        <f t="shared" si="37"/>
        <v/>
      </c>
      <c r="BL108" s="340" t="str">
        <f t="shared" si="38"/>
        <v/>
      </c>
      <c r="BM108" s="340" t="str">
        <f t="shared" si="39"/>
        <v/>
      </c>
      <c r="BN108" s="340" t="str">
        <f t="shared" si="40"/>
        <v/>
      </c>
      <c r="BO108" s="340" t="str">
        <f t="shared" si="41"/>
        <v/>
      </c>
      <c r="BP108" s="340" t="str">
        <f t="shared" si="42"/>
        <v/>
      </c>
      <c r="BQ108" s="340" t="str">
        <f t="shared" si="43"/>
        <v/>
      </c>
      <c r="BR108" s="340" t="str">
        <f t="shared" si="44"/>
        <v/>
      </c>
      <c r="BS108" s="340" t="str">
        <f t="shared" si="45"/>
        <v/>
      </c>
      <c r="BT108" s="341" t="str">
        <f t="shared" si="46"/>
        <v/>
      </c>
      <c r="BU108" s="324"/>
    </row>
    <row r="109" spans="1:73" s="342" customFormat="1">
      <c r="A109" s="324"/>
      <c r="B109" s="324"/>
      <c r="C109" s="325" t="s">
        <v>142</v>
      </c>
      <c r="D109" s="326"/>
      <c r="E109" s="326"/>
      <c r="F109" s="327">
        <f t="shared" si="0"/>
        <v>0</v>
      </c>
      <c r="G109" s="325" t="s">
        <v>142</v>
      </c>
      <c r="H109" s="326"/>
      <c r="I109" s="326"/>
      <c r="J109" s="327">
        <f t="shared" si="1"/>
        <v>0</v>
      </c>
      <c r="K109" s="343">
        <f t="shared" si="2"/>
        <v>0</v>
      </c>
      <c r="L109" s="325"/>
      <c r="M109" s="344"/>
      <c r="N109" s="345">
        <f t="shared" si="3"/>
        <v>0</v>
      </c>
      <c r="O109" s="345">
        <v>0</v>
      </c>
      <c r="P109" s="346">
        <f t="shared" si="4"/>
        <v>0</v>
      </c>
      <c r="Q109" s="332" t="str">
        <f t="shared" si="5"/>
        <v/>
      </c>
      <c r="R109" s="332" t="str">
        <f t="shared" si="6"/>
        <v/>
      </c>
      <c r="S109" s="333" t="str">
        <f t="shared" si="7"/>
        <v/>
      </c>
      <c r="T109" s="333" t="str">
        <f t="shared" si="8"/>
        <v/>
      </c>
      <c r="U109" s="333" t="str">
        <f t="shared" si="9"/>
        <v/>
      </c>
      <c r="V109" s="333" t="str">
        <f t="shared" si="10"/>
        <v/>
      </c>
      <c r="W109" s="333" t="str">
        <f t="shared" si="11"/>
        <v/>
      </c>
      <c r="X109" s="333" t="str">
        <f t="shared" si="12"/>
        <v/>
      </c>
      <c r="Y109" s="333" t="str">
        <f t="shared" si="13"/>
        <v/>
      </c>
      <c r="Z109" s="333" t="str">
        <f t="shared" si="14"/>
        <v/>
      </c>
      <c r="AA109" s="333" t="str">
        <f t="shared" si="15"/>
        <v/>
      </c>
      <c r="AB109" s="333" t="str">
        <f t="shared" si="16"/>
        <v/>
      </c>
      <c r="AC109" s="334" t="str">
        <f t="shared" si="72"/>
        <v/>
      </c>
      <c r="AD109" s="335"/>
      <c r="AE109" s="336">
        <f t="shared" si="18"/>
        <v>0</v>
      </c>
      <c r="AF109" s="337">
        <f t="shared" si="19"/>
        <v>0</v>
      </c>
      <c r="AG109" s="338">
        <f t="shared" si="20"/>
        <v>0</v>
      </c>
      <c r="AH109" s="339">
        <v>0</v>
      </c>
      <c r="AI109" s="340">
        <v>0</v>
      </c>
      <c r="AJ109" s="340">
        <v>0</v>
      </c>
      <c r="AK109" s="340">
        <v>0</v>
      </c>
      <c r="AL109" s="340">
        <v>0</v>
      </c>
      <c r="AM109" s="340">
        <v>0</v>
      </c>
      <c r="AN109" s="340">
        <v>0</v>
      </c>
      <c r="AO109" s="340">
        <v>0</v>
      </c>
      <c r="AP109" s="340">
        <v>0</v>
      </c>
      <c r="AQ109" s="340">
        <v>0</v>
      </c>
      <c r="AR109" s="340">
        <v>0</v>
      </c>
      <c r="AS109" s="340">
        <v>0</v>
      </c>
      <c r="AT109" s="341">
        <v>0</v>
      </c>
      <c r="AU109" s="339">
        <f t="shared" si="21"/>
        <v>0</v>
      </c>
      <c r="AV109" s="340">
        <f t="shared" si="22"/>
        <v>0</v>
      </c>
      <c r="AW109" s="340">
        <f t="shared" si="23"/>
        <v>0</v>
      </c>
      <c r="AX109" s="340">
        <f t="shared" si="24"/>
        <v>0</v>
      </c>
      <c r="AY109" s="340">
        <f t="shared" si="25"/>
        <v>0</v>
      </c>
      <c r="AZ109" s="340">
        <f t="shared" si="26"/>
        <v>0</v>
      </c>
      <c r="BA109" s="340">
        <f t="shared" si="27"/>
        <v>0</v>
      </c>
      <c r="BB109" s="340">
        <f t="shared" si="28"/>
        <v>0</v>
      </c>
      <c r="BC109" s="340">
        <f t="shared" si="29"/>
        <v>0</v>
      </c>
      <c r="BD109" s="340">
        <f t="shared" si="30"/>
        <v>0</v>
      </c>
      <c r="BE109" s="340">
        <f t="shared" si="31"/>
        <v>0</v>
      </c>
      <c r="BF109" s="340">
        <f t="shared" si="32"/>
        <v>0</v>
      </c>
      <c r="BG109" s="340">
        <f t="shared" si="33"/>
        <v>0</v>
      </c>
      <c r="BH109" s="339" t="str">
        <f t="shared" si="34"/>
        <v/>
      </c>
      <c r="BI109" s="340" t="str">
        <f t="shared" si="35"/>
        <v/>
      </c>
      <c r="BJ109" s="340" t="str">
        <f t="shared" si="36"/>
        <v/>
      </c>
      <c r="BK109" s="340" t="str">
        <f t="shared" si="37"/>
        <v/>
      </c>
      <c r="BL109" s="340" t="str">
        <f t="shared" si="38"/>
        <v/>
      </c>
      <c r="BM109" s="340" t="str">
        <f t="shared" si="39"/>
        <v/>
      </c>
      <c r="BN109" s="340" t="str">
        <f t="shared" si="40"/>
        <v/>
      </c>
      <c r="BO109" s="340" t="str">
        <f t="shared" si="41"/>
        <v/>
      </c>
      <c r="BP109" s="340" t="str">
        <f t="shared" si="42"/>
        <v/>
      </c>
      <c r="BQ109" s="340" t="str">
        <f t="shared" si="43"/>
        <v/>
      </c>
      <c r="BR109" s="340" t="str">
        <f t="shared" si="44"/>
        <v/>
      </c>
      <c r="BS109" s="340" t="str">
        <f t="shared" si="45"/>
        <v/>
      </c>
      <c r="BT109" s="341" t="str">
        <f t="shared" si="46"/>
        <v/>
      </c>
      <c r="BU109" s="324"/>
    </row>
    <row r="110" spans="1:73" s="342" customFormat="1">
      <c r="A110" s="324"/>
      <c r="B110" s="324"/>
      <c r="C110" s="325" t="s">
        <v>142</v>
      </c>
      <c r="D110" s="326"/>
      <c r="E110" s="326"/>
      <c r="F110" s="327">
        <f t="shared" si="0"/>
        <v>0</v>
      </c>
      <c r="G110" s="325" t="s">
        <v>142</v>
      </c>
      <c r="H110" s="326"/>
      <c r="I110" s="326"/>
      <c r="J110" s="327">
        <f t="shared" si="1"/>
        <v>0</v>
      </c>
      <c r="K110" s="343">
        <f t="shared" si="2"/>
        <v>0</v>
      </c>
      <c r="L110" s="325"/>
      <c r="M110" s="344"/>
      <c r="N110" s="345">
        <f t="shared" si="3"/>
        <v>0</v>
      </c>
      <c r="O110" s="345">
        <v>0</v>
      </c>
      <c r="P110" s="346">
        <f t="shared" si="4"/>
        <v>0</v>
      </c>
      <c r="Q110" s="332" t="str">
        <f t="shared" si="5"/>
        <v/>
      </c>
      <c r="R110" s="332" t="str">
        <f t="shared" si="6"/>
        <v/>
      </c>
      <c r="S110" s="333" t="str">
        <f t="shared" si="7"/>
        <v/>
      </c>
      <c r="T110" s="333" t="str">
        <f t="shared" si="8"/>
        <v/>
      </c>
      <c r="U110" s="333" t="str">
        <f t="shared" si="9"/>
        <v/>
      </c>
      <c r="V110" s="333" t="str">
        <f t="shared" si="10"/>
        <v/>
      </c>
      <c r="W110" s="333" t="str">
        <f t="shared" si="11"/>
        <v/>
      </c>
      <c r="X110" s="333" t="str">
        <f t="shared" si="12"/>
        <v/>
      </c>
      <c r="Y110" s="333" t="str">
        <f t="shared" si="13"/>
        <v/>
      </c>
      <c r="Z110" s="333" t="str">
        <f t="shared" si="14"/>
        <v/>
      </c>
      <c r="AA110" s="333" t="str">
        <f t="shared" si="15"/>
        <v/>
      </c>
      <c r="AB110" s="333" t="str">
        <f t="shared" si="16"/>
        <v/>
      </c>
      <c r="AC110" s="334" t="str">
        <f t="shared" si="72"/>
        <v/>
      </c>
      <c r="AD110" s="335"/>
      <c r="AE110" s="336">
        <f t="shared" si="18"/>
        <v>0</v>
      </c>
      <c r="AF110" s="337">
        <f t="shared" si="19"/>
        <v>0</v>
      </c>
      <c r="AG110" s="338">
        <f t="shared" si="20"/>
        <v>0</v>
      </c>
      <c r="AH110" s="339">
        <v>0</v>
      </c>
      <c r="AI110" s="340">
        <v>0</v>
      </c>
      <c r="AJ110" s="340">
        <v>0</v>
      </c>
      <c r="AK110" s="340">
        <v>0</v>
      </c>
      <c r="AL110" s="340">
        <v>0</v>
      </c>
      <c r="AM110" s="340">
        <v>0</v>
      </c>
      <c r="AN110" s="340">
        <v>0</v>
      </c>
      <c r="AO110" s="340">
        <v>0</v>
      </c>
      <c r="AP110" s="340">
        <v>0</v>
      </c>
      <c r="AQ110" s="340">
        <v>0</v>
      </c>
      <c r="AR110" s="340">
        <v>0</v>
      </c>
      <c r="AS110" s="340">
        <v>0</v>
      </c>
      <c r="AT110" s="341">
        <v>0</v>
      </c>
      <c r="AU110" s="339">
        <f t="shared" si="21"/>
        <v>0</v>
      </c>
      <c r="AV110" s="340">
        <f t="shared" si="22"/>
        <v>0</v>
      </c>
      <c r="AW110" s="340">
        <f t="shared" si="23"/>
        <v>0</v>
      </c>
      <c r="AX110" s="340">
        <f t="shared" si="24"/>
        <v>0</v>
      </c>
      <c r="AY110" s="340">
        <f t="shared" si="25"/>
        <v>0</v>
      </c>
      <c r="AZ110" s="340">
        <f t="shared" si="26"/>
        <v>0</v>
      </c>
      <c r="BA110" s="340">
        <f t="shared" si="27"/>
        <v>0</v>
      </c>
      <c r="BB110" s="340">
        <f t="shared" si="28"/>
        <v>0</v>
      </c>
      <c r="BC110" s="340">
        <f t="shared" si="29"/>
        <v>0</v>
      </c>
      <c r="BD110" s="340">
        <f t="shared" si="30"/>
        <v>0</v>
      </c>
      <c r="BE110" s="340">
        <f t="shared" si="31"/>
        <v>0</v>
      </c>
      <c r="BF110" s="340">
        <f t="shared" si="32"/>
        <v>0</v>
      </c>
      <c r="BG110" s="340">
        <f t="shared" si="33"/>
        <v>0</v>
      </c>
      <c r="BH110" s="339" t="str">
        <f t="shared" si="34"/>
        <v/>
      </c>
      <c r="BI110" s="340" t="str">
        <f t="shared" si="35"/>
        <v/>
      </c>
      <c r="BJ110" s="340" t="str">
        <f t="shared" si="36"/>
        <v/>
      </c>
      <c r="BK110" s="340" t="str">
        <f t="shared" si="37"/>
        <v/>
      </c>
      <c r="BL110" s="340" t="str">
        <f t="shared" si="38"/>
        <v/>
      </c>
      <c r="BM110" s="340" t="str">
        <f t="shared" si="39"/>
        <v/>
      </c>
      <c r="BN110" s="340" t="str">
        <f t="shared" si="40"/>
        <v/>
      </c>
      <c r="BO110" s="340" t="str">
        <f t="shared" si="41"/>
        <v/>
      </c>
      <c r="BP110" s="340" t="str">
        <f t="shared" si="42"/>
        <v/>
      </c>
      <c r="BQ110" s="340" t="str">
        <f t="shared" si="43"/>
        <v/>
      </c>
      <c r="BR110" s="340" t="str">
        <f t="shared" si="44"/>
        <v/>
      </c>
      <c r="BS110" s="340" t="str">
        <f t="shared" si="45"/>
        <v/>
      </c>
      <c r="BT110" s="341" t="str">
        <f t="shared" si="46"/>
        <v/>
      </c>
      <c r="BU110" s="324"/>
    </row>
    <row r="111" spans="1:73" s="342" customFormat="1">
      <c r="A111" s="324"/>
      <c r="B111" s="324"/>
      <c r="C111" s="325" t="s">
        <v>142</v>
      </c>
      <c r="D111" s="326"/>
      <c r="E111" s="326"/>
      <c r="F111" s="327">
        <f t="shared" si="0"/>
        <v>0</v>
      </c>
      <c r="G111" s="325" t="s">
        <v>142</v>
      </c>
      <c r="H111" s="326"/>
      <c r="I111" s="326"/>
      <c r="J111" s="327">
        <f t="shared" si="1"/>
        <v>0</v>
      </c>
      <c r="K111" s="343">
        <f t="shared" si="2"/>
        <v>0</v>
      </c>
      <c r="L111" s="325"/>
      <c r="M111" s="344"/>
      <c r="N111" s="345">
        <f t="shared" si="3"/>
        <v>0</v>
      </c>
      <c r="O111" s="345">
        <v>0</v>
      </c>
      <c r="P111" s="346">
        <f t="shared" si="4"/>
        <v>0</v>
      </c>
      <c r="Q111" s="332" t="str">
        <f t="shared" si="5"/>
        <v/>
      </c>
      <c r="R111" s="332" t="str">
        <f t="shared" si="6"/>
        <v/>
      </c>
      <c r="S111" s="333" t="str">
        <f t="shared" si="7"/>
        <v/>
      </c>
      <c r="T111" s="333" t="str">
        <f t="shared" si="8"/>
        <v/>
      </c>
      <c r="U111" s="333" t="str">
        <f t="shared" si="9"/>
        <v/>
      </c>
      <c r="V111" s="333" t="str">
        <f t="shared" si="10"/>
        <v/>
      </c>
      <c r="W111" s="333" t="str">
        <f t="shared" si="11"/>
        <v/>
      </c>
      <c r="X111" s="333" t="str">
        <f t="shared" si="12"/>
        <v/>
      </c>
      <c r="Y111" s="333" t="str">
        <f t="shared" si="13"/>
        <v/>
      </c>
      <c r="Z111" s="333" t="str">
        <f t="shared" si="14"/>
        <v/>
      </c>
      <c r="AA111" s="333" t="str">
        <f t="shared" si="15"/>
        <v/>
      </c>
      <c r="AB111" s="333" t="str">
        <f t="shared" si="16"/>
        <v/>
      </c>
      <c r="AC111" s="334" t="str">
        <f t="shared" si="72"/>
        <v/>
      </c>
      <c r="AD111" s="335"/>
      <c r="AE111" s="336">
        <f t="shared" si="18"/>
        <v>0</v>
      </c>
      <c r="AF111" s="337">
        <f t="shared" si="19"/>
        <v>0</v>
      </c>
      <c r="AG111" s="338">
        <f t="shared" si="20"/>
        <v>0</v>
      </c>
      <c r="AH111" s="339">
        <v>0</v>
      </c>
      <c r="AI111" s="340">
        <v>0</v>
      </c>
      <c r="AJ111" s="340">
        <v>0</v>
      </c>
      <c r="AK111" s="340">
        <v>0</v>
      </c>
      <c r="AL111" s="340">
        <v>0</v>
      </c>
      <c r="AM111" s="340">
        <v>0</v>
      </c>
      <c r="AN111" s="340">
        <v>0</v>
      </c>
      <c r="AO111" s="340">
        <v>0</v>
      </c>
      <c r="AP111" s="340">
        <v>0</v>
      </c>
      <c r="AQ111" s="340">
        <v>0</v>
      </c>
      <c r="AR111" s="340">
        <v>0</v>
      </c>
      <c r="AS111" s="340">
        <v>0</v>
      </c>
      <c r="AT111" s="341">
        <v>0</v>
      </c>
      <c r="AU111" s="339">
        <f t="shared" si="21"/>
        <v>0</v>
      </c>
      <c r="AV111" s="340">
        <f t="shared" si="22"/>
        <v>0</v>
      </c>
      <c r="AW111" s="340">
        <f t="shared" si="23"/>
        <v>0</v>
      </c>
      <c r="AX111" s="340">
        <f t="shared" si="24"/>
        <v>0</v>
      </c>
      <c r="AY111" s="340">
        <f t="shared" si="25"/>
        <v>0</v>
      </c>
      <c r="AZ111" s="340">
        <f t="shared" si="26"/>
        <v>0</v>
      </c>
      <c r="BA111" s="340">
        <f t="shared" si="27"/>
        <v>0</v>
      </c>
      <c r="BB111" s="340">
        <f t="shared" si="28"/>
        <v>0</v>
      </c>
      <c r="BC111" s="340">
        <f t="shared" si="29"/>
        <v>0</v>
      </c>
      <c r="BD111" s="340">
        <f t="shared" si="30"/>
        <v>0</v>
      </c>
      <c r="BE111" s="340">
        <f t="shared" si="31"/>
        <v>0</v>
      </c>
      <c r="BF111" s="340">
        <f t="shared" si="32"/>
        <v>0</v>
      </c>
      <c r="BG111" s="340">
        <f t="shared" si="33"/>
        <v>0</v>
      </c>
      <c r="BH111" s="339" t="str">
        <f t="shared" si="34"/>
        <v/>
      </c>
      <c r="BI111" s="340" t="str">
        <f t="shared" si="35"/>
        <v/>
      </c>
      <c r="BJ111" s="340" t="str">
        <f t="shared" si="36"/>
        <v/>
      </c>
      <c r="BK111" s="340" t="str">
        <f t="shared" si="37"/>
        <v/>
      </c>
      <c r="BL111" s="340" t="str">
        <f t="shared" si="38"/>
        <v/>
      </c>
      <c r="BM111" s="340" t="str">
        <f t="shared" si="39"/>
        <v/>
      </c>
      <c r="BN111" s="340" t="str">
        <f t="shared" si="40"/>
        <v/>
      </c>
      <c r="BO111" s="340" t="str">
        <f t="shared" si="41"/>
        <v/>
      </c>
      <c r="BP111" s="340" t="str">
        <f t="shared" si="42"/>
        <v/>
      </c>
      <c r="BQ111" s="340" t="str">
        <f t="shared" si="43"/>
        <v/>
      </c>
      <c r="BR111" s="340" t="str">
        <f t="shared" si="44"/>
        <v/>
      </c>
      <c r="BS111" s="340" t="str">
        <f t="shared" si="45"/>
        <v/>
      </c>
      <c r="BT111" s="341" t="str">
        <f t="shared" si="46"/>
        <v/>
      </c>
      <c r="BU111" s="324"/>
    </row>
    <row r="112" spans="1:73" s="342" customFormat="1">
      <c r="A112" s="324"/>
      <c r="B112" s="324"/>
      <c r="C112" s="348" t="s">
        <v>142</v>
      </c>
      <c r="D112" s="349"/>
      <c r="E112" s="349"/>
      <c r="F112" s="350">
        <f t="shared" si="0"/>
        <v>0</v>
      </c>
      <c r="G112" s="348" t="s">
        <v>142</v>
      </c>
      <c r="H112" s="349"/>
      <c r="I112" s="349"/>
      <c r="J112" s="350">
        <f t="shared" si="1"/>
        <v>0</v>
      </c>
      <c r="K112" s="351">
        <f t="shared" si="2"/>
        <v>0</v>
      </c>
      <c r="L112" s="348"/>
      <c r="M112" s="352"/>
      <c r="N112" s="353">
        <f t="shared" si="3"/>
        <v>0</v>
      </c>
      <c r="O112" s="353">
        <v>0</v>
      </c>
      <c r="P112" s="354">
        <f t="shared" si="4"/>
        <v>0</v>
      </c>
      <c r="Q112" s="332" t="str">
        <f t="shared" si="5"/>
        <v/>
      </c>
      <c r="R112" s="332" t="str">
        <f t="shared" si="6"/>
        <v/>
      </c>
      <c r="S112" s="333" t="str">
        <f t="shared" si="7"/>
        <v/>
      </c>
      <c r="T112" s="333" t="str">
        <f t="shared" si="8"/>
        <v/>
      </c>
      <c r="U112" s="333" t="str">
        <f t="shared" si="9"/>
        <v/>
      </c>
      <c r="V112" s="333" t="str">
        <f t="shared" si="10"/>
        <v/>
      </c>
      <c r="W112" s="333" t="str">
        <f t="shared" si="11"/>
        <v/>
      </c>
      <c r="X112" s="333" t="str">
        <f t="shared" si="12"/>
        <v/>
      </c>
      <c r="Y112" s="333" t="str">
        <f t="shared" si="13"/>
        <v/>
      </c>
      <c r="Z112" s="333" t="str">
        <f t="shared" si="14"/>
        <v/>
      </c>
      <c r="AA112" s="333" t="str">
        <f t="shared" si="15"/>
        <v/>
      </c>
      <c r="AB112" s="333" t="str">
        <f t="shared" si="16"/>
        <v/>
      </c>
      <c r="AC112" s="334" t="str">
        <f t="shared" si="72"/>
        <v/>
      </c>
      <c r="AD112" s="335"/>
      <c r="AE112" s="336">
        <f t="shared" si="18"/>
        <v>0</v>
      </c>
      <c r="AF112" s="337">
        <f t="shared" si="19"/>
        <v>0</v>
      </c>
      <c r="AG112" s="338">
        <f t="shared" si="20"/>
        <v>0</v>
      </c>
      <c r="AH112" s="355">
        <v>0</v>
      </c>
      <c r="AI112" s="356">
        <v>0</v>
      </c>
      <c r="AJ112" s="356">
        <v>0</v>
      </c>
      <c r="AK112" s="356">
        <v>0</v>
      </c>
      <c r="AL112" s="356">
        <v>0</v>
      </c>
      <c r="AM112" s="356">
        <v>0</v>
      </c>
      <c r="AN112" s="356">
        <v>0</v>
      </c>
      <c r="AO112" s="356">
        <v>0</v>
      </c>
      <c r="AP112" s="356">
        <v>0</v>
      </c>
      <c r="AQ112" s="356">
        <v>0</v>
      </c>
      <c r="AR112" s="356">
        <v>0</v>
      </c>
      <c r="AS112" s="356">
        <v>0</v>
      </c>
      <c r="AT112" s="357">
        <v>0</v>
      </c>
      <c r="AU112" s="355">
        <f t="shared" si="21"/>
        <v>0</v>
      </c>
      <c r="AV112" s="356">
        <f t="shared" si="22"/>
        <v>0</v>
      </c>
      <c r="AW112" s="356">
        <f t="shared" si="23"/>
        <v>0</v>
      </c>
      <c r="AX112" s="356">
        <f t="shared" si="24"/>
        <v>0</v>
      </c>
      <c r="AY112" s="356">
        <f t="shared" si="25"/>
        <v>0</v>
      </c>
      <c r="AZ112" s="356">
        <f t="shared" si="26"/>
        <v>0</v>
      </c>
      <c r="BA112" s="356">
        <f t="shared" si="27"/>
        <v>0</v>
      </c>
      <c r="BB112" s="356">
        <f t="shared" si="28"/>
        <v>0</v>
      </c>
      <c r="BC112" s="356">
        <f t="shared" si="29"/>
        <v>0</v>
      </c>
      <c r="BD112" s="356">
        <f t="shared" si="30"/>
        <v>0</v>
      </c>
      <c r="BE112" s="356">
        <f t="shared" si="31"/>
        <v>0</v>
      </c>
      <c r="BF112" s="356">
        <f t="shared" si="32"/>
        <v>0</v>
      </c>
      <c r="BG112" s="356">
        <f t="shared" si="33"/>
        <v>0</v>
      </c>
      <c r="BH112" s="355" t="str">
        <f t="shared" si="34"/>
        <v/>
      </c>
      <c r="BI112" s="356" t="str">
        <f t="shared" si="35"/>
        <v/>
      </c>
      <c r="BJ112" s="356" t="str">
        <f t="shared" si="36"/>
        <v/>
      </c>
      <c r="BK112" s="356" t="str">
        <f t="shared" si="37"/>
        <v/>
      </c>
      <c r="BL112" s="356" t="str">
        <f t="shared" si="38"/>
        <v/>
      </c>
      <c r="BM112" s="356" t="str">
        <f t="shared" si="39"/>
        <v/>
      </c>
      <c r="BN112" s="356" t="str">
        <f t="shared" si="40"/>
        <v/>
      </c>
      <c r="BO112" s="356" t="str">
        <f t="shared" si="41"/>
        <v/>
      </c>
      <c r="BP112" s="356" t="str">
        <f t="shared" si="42"/>
        <v/>
      </c>
      <c r="BQ112" s="356" t="str">
        <f t="shared" si="43"/>
        <v/>
      </c>
      <c r="BR112" s="356" t="str">
        <f t="shared" si="44"/>
        <v/>
      </c>
      <c r="BS112" s="356" t="str">
        <f t="shared" si="45"/>
        <v/>
      </c>
      <c r="BT112" s="357" t="str">
        <f t="shared" si="46"/>
        <v/>
      </c>
      <c r="BU112" s="324"/>
    </row>
    <row r="113" spans="1:73" s="342" customFormat="1" ht="20" customHeight="1">
      <c r="A113" s="324"/>
      <c r="B113" s="324"/>
      <c r="C113" s="324"/>
      <c r="D113" s="324"/>
      <c r="E113" s="324"/>
      <c r="F113" s="324"/>
      <c r="G113" s="324"/>
      <c r="H113" s="324"/>
      <c r="I113" s="324"/>
      <c r="J113" s="324"/>
      <c r="K113" s="324"/>
      <c r="L113" s="324"/>
      <c r="M113" s="324"/>
      <c r="N113" s="324"/>
      <c r="O113" s="358">
        <f>SUMPRODUCT(L8:L112,O8:O112)</f>
        <v>132217</v>
      </c>
      <c r="P113" s="359" t="s">
        <v>64</v>
      </c>
      <c r="Q113" s="360">
        <f t="shared" ref="Q113:AC113" si="73">SUM(Q8:Q112)</f>
        <v>0</v>
      </c>
      <c r="R113" s="360">
        <f t="shared" si="73"/>
        <v>5094</v>
      </c>
      <c r="S113" s="358">
        <f t="shared" si="73"/>
        <v>35692</v>
      </c>
      <c r="T113" s="358">
        <f t="shared" si="73"/>
        <v>6174</v>
      </c>
      <c r="U113" s="358">
        <f t="shared" si="73"/>
        <v>13373</v>
      </c>
      <c r="V113" s="358">
        <f t="shared" si="73"/>
        <v>0</v>
      </c>
      <c r="W113" s="358">
        <f t="shared" si="73"/>
        <v>50741</v>
      </c>
      <c r="X113" s="358">
        <f t="shared" si="73"/>
        <v>0</v>
      </c>
      <c r="Y113" s="358">
        <f t="shared" si="73"/>
        <v>54064</v>
      </c>
      <c r="Z113" s="358">
        <f t="shared" si="73"/>
        <v>175227</v>
      </c>
      <c r="AA113" s="358">
        <f t="shared" si="73"/>
        <v>0</v>
      </c>
      <c r="AB113" s="358">
        <f t="shared" si="73"/>
        <v>0</v>
      </c>
      <c r="AC113" s="361">
        <f t="shared" si="73"/>
        <v>0</v>
      </c>
      <c r="AD113" s="362">
        <f>ROUND(SUM(Q113:AC113)*112%,-2)</f>
        <v>381200</v>
      </c>
      <c r="AE113" s="363">
        <f>ROUND(SUM(AE8:AE112),0)</f>
        <v>597</v>
      </c>
      <c r="AF113" s="364">
        <f>ROUND(SUM(AF8:AF112),0)</f>
        <v>3334</v>
      </c>
      <c r="AG113" s="364">
        <f>ROUND(SUM(AG8:AG112),0)</f>
        <v>1772</v>
      </c>
      <c r="AH113" s="365"/>
      <c r="AI113" s="365"/>
      <c r="AJ113" s="365"/>
      <c r="AK113" s="365"/>
      <c r="AL113" s="365"/>
      <c r="AM113" s="365"/>
      <c r="AN113" s="365"/>
      <c r="AO113" s="365"/>
      <c r="AP113" s="365"/>
      <c r="AQ113" s="365"/>
      <c r="AR113" s="365"/>
      <c r="AS113" s="365"/>
      <c r="AT113" s="365"/>
      <c r="AU113" s="324"/>
      <c r="AV113" s="324"/>
      <c r="AW113" s="324"/>
      <c r="AX113" s="324"/>
      <c r="AY113" s="324"/>
      <c r="AZ113" s="324"/>
      <c r="BA113" s="324"/>
      <c r="BB113" s="324"/>
      <c r="BC113" s="324"/>
      <c r="BD113" s="359"/>
      <c r="BE113" s="324"/>
      <c r="BF113" s="359"/>
      <c r="BG113" s="324"/>
      <c r="BH113" s="366">
        <f t="shared" ref="BH113:BT113" si="74">SUM(BH8:BH112)</f>
        <v>0</v>
      </c>
      <c r="BI113" s="367">
        <f t="shared" si="74"/>
        <v>84</v>
      </c>
      <c r="BJ113" s="367">
        <f t="shared" si="74"/>
        <v>412</v>
      </c>
      <c r="BK113" s="367">
        <f t="shared" si="74"/>
        <v>21</v>
      </c>
      <c r="BL113" s="367">
        <f t="shared" si="74"/>
        <v>74</v>
      </c>
      <c r="BM113" s="367">
        <f t="shared" si="74"/>
        <v>63</v>
      </c>
      <c r="BN113" s="367">
        <f t="shared" si="74"/>
        <v>239</v>
      </c>
      <c r="BO113" s="367">
        <f t="shared" si="74"/>
        <v>0</v>
      </c>
      <c r="BP113" s="367">
        <f t="shared" si="74"/>
        <v>166</v>
      </c>
      <c r="BQ113" s="367">
        <f t="shared" si="74"/>
        <v>561</v>
      </c>
      <c r="BR113" s="367">
        <f t="shared" si="74"/>
        <v>0</v>
      </c>
      <c r="BS113" s="367">
        <f t="shared" si="74"/>
        <v>0</v>
      </c>
      <c r="BT113" s="368">
        <f t="shared" si="74"/>
        <v>0</v>
      </c>
      <c r="BU113" s="324"/>
    </row>
    <row r="114" spans="1:73" s="342" customFormat="1" ht="20" customHeight="1">
      <c r="A114" s="324"/>
      <c r="B114" s="324"/>
      <c r="C114" s="324"/>
      <c r="D114" s="324"/>
      <c r="E114" s="324"/>
      <c r="F114" s="324"/>
      <c r="G114" s="324"/>
      <c r="H114" s="324"/>
      <c r="I114" s="324"/>
      <c r="J114" s="324"/>
      <c r="K114" s="369" t="s">
        <v>65</v>
      </c>
      <c r="L114" s="359">
        <f>SUM(L8:L112)</f>
        <v>1694</v>
      </c>
      <c r="M114" s="324"/>
      <c r="N114" s="324"/>
      <c r="O114" s="358">
        <f>O113+AD113</f>
        <v>513417</v>
      </c>
      <c r="P114" s="369" t="s">
        <v>66</v>
      </c>
      <c r="Q114" s="370">
        <f t="shared" ref="Q114:AC114" si="75">BH113</f>
        <v>0</v>
      </c>
      <c r="R114" s="370">
        <f t="shared" si="75"/>
        <v>84</v>
      </c>
      <c r="S114" s="371">
        <f t="shared" si="75"/>
        <v>412</v>
      </c>
      <c r="T114" s="371">
        <f t="shared" si="75"/>
        <v>21</v>
      </c>
      <c r="U114" s="371">
        <f t="shared" si="75"/>
        <v>74</v>
      </c>
      <c r="V114" s="371">
        <f t="shared" si="75"/>
        <v>63</v>
      </c>
      <c r="W114" s="371">
        <f t="shared" si="75"/>
        <v>239</v>
      </c>
      <c r="X114" s="371">
        <f t="shared" si="75"/>
        <v>0</v>
      </c>
      <c r="Y114" s="371">
        <f t="shared" si="75"/>
        <v>166</v>
      </c>
      <c r="Z114" s="371">
        <f t="shared" si="75"/>
        <v>561</v>
      </c>
      <c r="AA114" s="371">
        <f t="shared" si="75"/>
        <v>0</v>
      </c>
      <c r="AB114" s="371">
        <f t="shared" si="75"/>
        <v>0</v>
      </c>
      <c r="AC114" s="372">
        <f t="shared" si="75"/>
        <v>0</v>
      </c>
      <c r="AD114" s="372">
        <f>SUM(Q114:AC114)</f>
        <v>1620</v>
      </c>
      <c r="AE114" s="324"/>
      <c r="AF114" s="324"/>
      <c r="AG114" s="324"/>
      <c r="AH114" s="324"/>
      <c r="AI114" s="324"/>
      <c r="AJ114" s="324"/>
      <c r="AK114" s="324"/>
      <c r="AL114" s="324"/>
      <c r="AM114" s="324"/>
      <c r="AN114" s="324"/>
      <c r="AO114" s="324"/>
      <c r="AP114" s="324"/>
      <c r="AQ114" s="324"/>
      <c r="AR114" s="324"/>
      <c r="AS114" s="324"/>
      <c r="AT114" s="324"/>
      <c r="AU114" s="324"/>
      <c r="AV114" s="324"/>
      <c r="AW114" s="324"/>
      <c r="AX114" s="324"/>
      <c r="AY114" s="324"/>
      <c r="AZ114" s="324"/>
      <c r="BA114" s="324"/>
      <c r="BB114" s="324"/>
      <c r="BC114" s="324"/>
      <c r="BD114" s="324"/>
      <c r="BE114" s="324"/>
      <c r="BF114" s="324"/>
      <c r="BG114" s="324"/>
      <c r="BH114" s="324"/>
      <c r="BI114" s="324"/>
      <c r="BJ114" s="324"/>
      <c r="BK114" s="324"/>
      <c r="BL114" s="324"/>
      <c r="BM114" s="324"/>
      <c r="BN114" s="324"/>
      <c r="BO114" s="324"/>
      <c r="BP114" s="324"/>
      <c r="BQ114" s="324"/>
      <c r="BR114" s="324"/>
      <c r="BS114" s="324"/>
      <c r="BT114" s="324"/>
      <c r="BU114" s="324"/>
    </row>
    <row r="115" spans="1:73" s="342" customFormat="1" ht="20" customHeight="1">
      <c r="A115" s="305" t="s">
        <v>43</v>
      </c>
      <c r="B115" s="324"/>
      <c r="C115" s="324"/>
      <c r="D115" s="324"/>
      <c r="E115" s="324"/>
      <c r="F115" s="324"/>
      <c r="G115" s="324"/>
      <c r="H115" s="324"/>
      <c r="I115" s="324"/>
      <c r="J115" s="324"/>
      <c r="K115" s="324"/>
      <c r="L115" s="324"/>
      <c r="M115" s="324"/>
      <c r="N115" s="324"/>
      <c r="O115" s="324"/>
      <c r="P115" s="369" t="s">
        <v>67</v>
      </c>
      <c r="Q115" s="360">
        <f t="shared" ref="Q115:AD115" si="76">IF(Q113&gt;0,Q113/Q114,0)</f>
        <v>0</v>
      </c>
      <c r="R115" s="360">
        <f t="shared" si="76"/>
        <v>60.642857142857146</v>
      </c>
      <c r="S115" s="358">
        <f t="shared" si="76"/>
        <v>86.631067961165044</v>
      </c>
      <c r="T115" s="358">
        <f t="shared" si="76"/>
        <v>294</v>
      </c>
      <c r="U115" s="358">
        <f t="shared" si="76"/>
        <v>180.71621621621622</v>
      </c>
      <c r="V115" s="358">
        <f t="shared" si="76"/>
        <v>0</v>
      </c>
      <c r="W115" s="358">
        <f t="shared" si="76"/>
        <v>212.30543933054392</v>
      </c>
      <c r="X115" s="358">
        <f t="shared" si="76"/>
        <v>0</v>
      </c>
      <c r="Y115" s="358">
        <f t="shared" si="76"/>
        <v>325.68674698795184</v>
      </c>
      <c r="Z115" s="358">
        <f t="shared" si="76"/>
        <v>312.34759358288773</v>
      </c>
      <c r="AA115" s="358">
        <f t="shared" si="76"/>
        <v>0</v>
      </c>
      <c r="AB115" s="358">
        <f t="shared" si="76"/>
        <v>0</v>
      </c>
      <c r="AC115" s="361">
        <f t="shared" si="76"/>
        <v>0</v>
      </c>
      <c r="AD115" s="361">
        <f t="shared" si="76"/>
        <v>235.30864197530863</v>
      </c>
      <c r="AE115" s="373" t="str">
        <f>IF(AD114=L114,"","CHECK LENGTH")</f>
        <v>CHECK LENGTH</v>
      </c>
      <c r="AF115" s="324"/>
      <c r="AG115" s="324"/>
      <c r="AH115" s="324"/>
      <c r="AI115" s="324"/>
      <c r="AJ115" s="324"/>
      <c r="AK115" s="324"/>
      <c r="AL115" s="324"/>
      <c r="AM115" s="324"/>
      <c r="AN115" s="324"/>
      <c r="AO115" s="324"/>
      <c r="AP115" s="324"/>
      <c r="AQ115" s="324"/>
      <c r="AR115" s="324"/>
      <c r="AS115" s="324"/>
      <c r="AT115" s="324"/>
      <c r="AU115" s="324"/>
      <c r="AV115" s="324"/>
      <c r="AW115" s="324"/>
      <c r="AX115" s="324"/>
      <c r="AY115" s="324"/>
      <c r="AZ115" s="324"/>
      <c r="BA115" s="324"/>
      <c r="BB115" s="324"/>
      <c r="BC115" s="324"/>
      <c r="BD115" s="324"/>
      <c r="BE115" s="324"/>
      <c r="BF115" s="324"/>
      <c r="BG115" s="324"/>
      <c r="BH115" s="324"/>
      <c r="BI115" s="324"/>
      <c r="BJ115" s="324"/>
      <c r="BK115" s="324"/>
      <c r="BL115" s="324"/>
      <c r="BM115" s="324"/>
      <c r="BN115" s="324"/>
      <c r="BO115" s="324"/>
      <c r="BP115" s="324"/>
      <c r="BQ115" s="324"/>
      <c r="BR115" s="324"/>
      <c r="BS115" s="324"/>
      <c r="BT115" s="324"/>
      <c r="BU115" s="324"/>
    </row>
    <row r="116" spans="1:73" ht="14" thickBot="1">
      <c r="A116" s="321" t="s">
        <v>40</v>
      </c>
      <c r="B116" s="309"/>
      <c r="C116" s="309"/>
      <c r="D116" s="309"/>
      <c r="E116" s="309"/>
      <c r="F116" s="309"/>
      <c r="G116" s="309"/>
      <c r="H116" s="309"/>
      <c r="I116" s="309"/>
      <c r="J116" s="309"/>
      <c r="K116" s="309"/>
      <c r="L116" s="304"/>
      <c r="M116" s="309"/>
      <c r="N116" s="304"/>
      <c r="O116" s="304"/>
      <c r="P116" s="304"/>
      <c r="Q116" s="374">
        <v>150</v>
      </c>
      <c r="R116" s="374">
        <v>225</v>
      </c>
      <c r="S116" s="322">
        <v>300</v>
      </c>
      <c r="T116" s="322">
        <v>375</v>
      </c>
      <c r="U116" s="322">
        <v>450</v>
      </c>
      <c r="V116" s="322">
        <v>525</v>
      </c>
      <c r="W116" s="322">
        <v>600</v>
      </c>
      <c r="X116" s="322">
        <v>675</v>
      </c>
      <c r="Y116" s="322">
        <v>750</v>
      </c>
      <c r="Z116" s="322">
        <v>900</v>
      </c>
      <c r="AA116" s="322">
        <v>1050</v>
      </c>
      <c r="AB116" s="322">
        <v>1200</v>
      </c>
      <c r="AC116" s="375">
        <v>1350</v>
      </c>
      <c r="AD116" s="375" t="b">
        <f>AD114=L114</f>
        <v>0</v>
      </c>
      <c r="AE116" s="302"/>
      <c r="AF116" s="302"/>
      <c r="AG116" s="302"/>
      <c r="AH116" s="302"/>
      <c r="AI116" s="302"/>
      <c r="AJ116" s="302"/>
      <c r="AK116" s="302"/>
      <c r="AL116" s="302"/>
      <c r="AM116" s="302"/>
      <c r="AN116" s="302"/>
      <c r="AO116" s="302"/>
      <c r="AP116" s="302"/>
      <c r="AQ116" s="302"/>
      <c r="AR116" s="302"/>
      <c r="AS116" s="302"/>
      <c r="AT116" s="302"/>
      <c r="AU116" s="302"/>
      <c r="AV116" s="302"/>
      <c r="AW116" s="302"/>
      <c r="AX116" s="302"/>
      <c r="AY116" s="302"/>
      <c r="AZ116" s="302"/>
      <c r="BA116" s="302"/>
      <c r="BB116" s="302"/>
      <c r="BC116" s="302"/>
      <c r="BD116" s="302"/>
      <c r="BE116" s="302"/>
      <c r="BF116" s="302"/>
      <c r="BG116" s="302"/>
      <c r="BH116" s="302"/>
      <c r="BI116" s="302"/>
      <c r="BJ116" s="302"/>
      <c r="BK116" s="302"/>
      <c r="BL116" s="302"/>
      <c r="BM116" s="302"/>
      <c r="BN116" s="302"/>
      <c r="BO116" s="302"/>
      <c r="BP116" s="302"/>
      <c r="BQ116" s="302"/>
      <c r="BR116" s="302"/>
      <c r="BS116" s="302"/>
      <c r="BT116" s="302"/>
      <c r="BU116" s="302"/>
    </row>
    <row r="117" spans="1:73">
      <c r="A117" s="310" t="s">
        <v>68</v>
      </c>
      <c r="B117" s="311" t="s">
        <v>69</v>
      </c>
      <c r="C117" s="311" t="s">
        <v>0</v>
      </c>
      <c r="D117" s="311" t="s">
        <v>56</v>
      </c>
      <c r="E117" s="311" t="s">
        <v>57</v>
      </c>
      <c r="F117" s="311" t="s">
        <v>37</v>
      </c>
      <c r="G117" s="311" t="s">
        <v>70</v>
      </c>
      <c r="H117" s="311" t="s">
        <v>71</v>
      </c>
      <c r="I117" s="311" t="s">
        <v>72</v>
      </c>
      <c r="J117" s="311"/>
      <c r="K117" s="313" t="s">
        <v>73</v>
      </c>
      <c r="L117" s="310" t="s">
        <v>50</v>
      </c>
      <c r="M117" s="311" t="s">
        <v>51</v>
      </c>
      <c r="N117" s="312" t="s">
        <v>74</v>
      </c>
      <c r="O117" s="376"/>
      <c r="P117" s="377"/>
      <c r="Q117" s="302"/>
      <c r="R117" s="302"/>
      <c r="S117" s="302"/>
      <c r="T117" s="302"/>
      <c r="U117" s="302"/>
      <c r="V117" s="302"/>
      <c r="W117" s="302"/>
      <c r="X117" s="302"/>
      <c r="Y117" s="302"/>
      <c r="Z117" s="302"/>
      <c r="AA117" s="302"/>
      <c r="AB117" s="302"/>
      <c r="AC117" s="302"/>
      <c r="AD117" s="302"/>
      <c r="AE117" s="302"/>
      <c r="AF117" s="302"/>
      <c r="AG117" s="1180" t="s">
        <v>75</v>
      </c>
      <c r="AH117" s="1181"/>
      <c r="AI117" s="1181"/>
      <c r="AJ117" s="1181"/>
      <c r="AK117" s="1181"/>
      <c r="AL117" s="1181"/>
      <c r="AM117" s="1181"/>
      <c r="AN117" s="1181"/>
      <c r="AO117" s="1181"/>
      <c r="AP117" s="1182"/>
      <c r="AQ117" s="1180" t="s">
        <v>75</v>
      </c>
      <c r="AR117" s="1181"/>
      <c r="AS117" s="1181"/>
      <c r="AT117" s="1181"/>
      <c r="AU117" s="1181"/>
      <c r="AV117" s="1181"/>
      <c r="AW117" s="1181"/>
      <c r="AX117" s="1181"/>
      <c r="AY117" s="1181"/>
      <c r="AZ117" s="1182"/>
      <c r="BA117" s="302"/>
      <c r="BB117" s="302"/>
      <c r="BC117" s="302"/>
      <c r="BD117" s="302"/>
      <c r="BE117" s="302"/>
      <c r="BF117" s="302"/>
      <c r="BG117" s="302"/>
      <c r="BH117" s="302"/>
      <c r="BI117" s="302"/>
      <c r="BJ117" s="302"/>
      <c r="BK117" s="302"/>
      <c r="BL117" s="302"/>
      <c r="BM117" s="302"/>
      <c r="BN117" s="302"/>
      <c r="BO117" s="302"/>
      <c r="BP117" s="302"/>
      <c r="BQ117" s="302"/>
      <c r="BR117" s="302"/>
      <c r="BS117" s="302"/>
      <c r="BT117" s="302"/>
      <c r="BU117" s="302"/>
    </row>
    <row r="118" spans="1:73" ht="32.25" customHeight="1" thickBot="1">
      <c r="A118" s="316" t="s">
        <v>76</v>
      </c>
      <c r="B118" s="317" t="s">
        <v>76</v>
      </c>
      <c r="C118" s="317"/>
      <c r="D118" s="317"/>
      <c r="E118" s="317"/>
      <c r="F118" s="317"/>
      <c r="G118" s="317"/>
      <c r="H118" s="317"/>
      <c r="I118" s="317" t="s">
        <v>77</v>
      </c>
      <c r="J118" s="317"/>
      <c r="K118" s="319"/>
      <c r="L118" s="316" t="s">
        <v>62</v>
      </c>
      <c r="M118" s="317" t="s">
        <v>78</v>
      </c>
      <c r="N118" s="318" t="s">
        <v>78</v>
      </c>
      <c r="O118" s="378"/>
      <c r="P118" s="319" t="s">
        <v>79</v>
      </c>
      <c r="Q118" s="302"/>
      <c r="R118" s="302"/>
      <c r="S118" s="302"/>
      <c r="T118" s="302"/>
      <c r="U118" s="302"/>
      <c r="V118" s="302"/>
      <c r="W118" s="302"/>
      <c r="X118" s="302"/>
      <c r="Y118" s="302"/>
      <c r="Z118" s="302"/>
      <c r="AA118" s="302"/>
      <c r="AB118" s="302"/>
      <c r="AC118" s="302"/>
      <c r="AD118" s="302"/>
      <c r="AE118" s="302"/>
      <c r="AF118" s="302"/>
      <c r="AG118" s="379">
        <v>900</v>
      </c>
      <c r="AH118" s="380">
        <v>1050</v>
      </c>
      <c r="AI118" s="380">
        <v>1200</v>
      </c>
      <c r="AJ118" s="380">
        <v>1350</v>
      </c>
      <c r="AK118" s="380">
        <v>1500</v>
      </c>
      <c r="AL118" s="380">
        <v>1800</v>
      </c>
      <c r="AM118" s="380">
        <v>2100</v>
      </c>
      <c r="AN118" s="380">
        <v>2400</v>
      </c>
      <c r="AO118" s="380">
        <v>2700</v>
      </c>
      <c r="AP118" s="381">
        <v>3000</v>
      </c>
      <c r="AQ118" s="379">
        <v>900</v>
      </c>
      <c r="AR118" s="380">
        <v>1050</v>
      </c>
      <c r="AS118" s="380">
        <v>1200</v>
      </c>
      <c r="AT118" s="380">
        <v>1350</v>
      </c>
      <c r="AU118" s="380">
        <v>1500</v>
      </c>
      <c r="AV118" s="380">
        <v>1800</v>
      </c>
      <c r="AW118" s="380">
        <v>2100</v>
      </c>
      <c r="AX118" s="380">
        <v>2400</v>
      </c>
      <c r="AY118" s="380">
        <v>2700</v>
      </c>
      <c r="AZ118" s="381">
        <v>3000</v>
      </c>
      <c r="BA118" s="302"/>
      <c r="BB118" s="302"/>
      <c r="BC118" s="302"/>
      <c r="BD118" s="302"/>
      <c r="BE118" s="302"/>
      <c r="BF118" s="302"/>
      <c r="BG118" s="302"/>
      <c r="BH118" s="302"/>
      <c r="BI118" s="302"/>
      <c r="BJ118" s="302"/>
      <c r="BK118" s="302"/>
      <c r="BL118" s="302"/>
      <c r="BM118" s="302"/>
      <c r="BN118" s="302"/>
      <c r="BO118" s="302"/>
      <c r="BP118" s="302"/>
      <c r="BQ118" s="302"/>
      <c r="BR118" s="302"/>
      <c r="BS118" s="302"/>
      <c r="BT118" s="302"/>
      <c r="BU118" s="302"/>
    </row>
    <row r="119" spans="1:73">
      <c r="A119" s="329"/>
      <c r="B119" s="382"/>
      <c r="C119" s="570" t="s">
        <v>581</v>
      </c>
      <c r="D119" s="572">
        <v>12</v>
      </c>
      <c r="E119" s="572">
        <v>9.125</v>
      </c>
      <c r="F119" s="384">
        <f t="shared" ref="F119:F238" si="77">CEILING(D119-E119,0.25)</f>
        <v>3</v>
      </c>
      <c r="G119" s="382">
        <v>1800</v>
      </c>
      <c r="H119" s="385">
        <f>IF((SUM(AQ119:AZ119))&gt;I119,SUM(AQ119:AZ119),I119)</f>
        <v>8930</v>
      </c>
      <c r="I119" s="385">
        <v>1680</v>
      </c>
      <c r="J119" s="386"/>
      <c r="K119" s="570">
        <v>750</v>
      </c>
      <c r="L119" s="387">
        <f t="shared" ref="L119:L238" si="78">(G119/1000/2*G119/1000/2*3.14)*F119</f>
        <v>7.6302000000000003</v>
      </c>
      <c r="M119" s="384">
        <f t="shared" ref="M119:M238" si="79">22/7*(G119/2/1000)*(G119/2/1000)*F119</f>
        <v>7.637142857142857</v>
      </c>
      <c r="N119" s="388">
        <f t="shared" ref="N119:N238" si="80">IF(G119&gt;0,(22/7*(1200/2/1000)*(1200/2/1000)*2),0)</f>
        <v>2.2628571428571429</v>
      </c>
      <c r="O119" s="389"/>
      <c r="P119" s="390">
        <f t="shared" ref="P119:P150" si="81">IF($A119&gt;0,(VLOOKUP($G119,$Q$253:$S$258,3)),0)</f>
        <v>0</v>
      </c>
      <c r="Q119" s="302"/>
      <c r="R119" s="302"/>
      <c r="S119" s="302"/>
      <c r="T119" s="302"/>
      <c r="U119" s="302"/>
      <c r="V119" s="302"/>
      <c r="W119" s="302"/>
      <c r="X119" s="302"/>
      <c r="Y119" s="302"/>
      <c r="Z119" s="302"/>
      <c r="AA119" s="302"/>
      <c r="AB119" s="302"/>
      <c r="AC119" s="302"/>
      <c r="AD119" s="302"/>
      <c r="AE119" s="302"/>
      <c r="AF119" s="302"/>
      <c r="AG119" s="391">
        <v>0</v>
      </c>
      <c r="AH119" s="392">
        <v>0</v>
      </c>
      <c r="AI119" s="392">
        <v>0</v>
      </c>
      <c r="AJ119" s="392">
        <v>0</v>
      </c>
      <c r="AK119" s="392">
        <v>7375</v>
      </c>
      <c r="AL119" s="392">
        <v>8930</v>
      </c>
      <c r="AM119" s="392">
        <v>11024</v>
      </c>
      <c r="AN119" s="392">
        <v>13589.105423808407</v>
      </c>
      <c r="AO119" s="392">
        <v>15265</v>
      </c>
      <c r="AP119" s="393">
        <v>0</v>
      </c>
      <c r="AQ119" s="391">
        <f t="shared" ref="AQ119:AQ238" si="82">IF($G119=$AG$118,AG119,0)</f>
        <v>0</v>
      </c>
      <c r="AR119" s="392">
        <f t="shared" ref="AR119:AR238" si="83">IF($G119=$AH$118,AH119,0)</f>
        <v>0</v>
      </c>
      <c r="AS119" s="392">
        <f t="shared" ref="AS119:AS238" si="84">IF($G119=$AI$118,AI119,0)</f>
        <v>0</v>
      </c>
      <c r="AT119" s="392">
        <f t="shared" ref="AT119:AT238" si="85">IF($G119=$AJ$118,AJ119,0)</f>
        <v>0</v>
      </c>
      <c r="AU119" s="392">
        <f t="shared" ref="AU119:AU238" si="86">IF($G119=$AK$118,AK119,0)</f>
        <v>0</v>
      </c>
      <c r="AV119" s="392">
        <f t="shared" ref="AV119:AV238" si="87">IF($G119=$AL$118,AL119,0)</f>
        <v>8930</v>
      </c>
      <c r="AW119" s="392">
        <f t="shared" ref="AW119:AW238" si="88">IF($G119=$AM$118,AM119,0)</f>
        <v>0</v>
      </c>
      <c r="AX119" s="392">
        <f t="shared" ref="AX119:AX238" si="89">IF($G119=$AN$118,AN119,0)</f>
        <v>0</v>
      </c>
      <c r="AY119" s="392">
        <f t="shared" ref="AY119:AY238" si="90">IF($G119=$AO$118,AO119,0)</f>
        <v>0</v>
      </c>
      <c r="AZ119" s="393">
        <f t="shared" ref="AZ119:AZ238" si="91">IF($G119=$AP$118,AP119,0)</f>
        <v>0</v>
      </c>
      <c r="BA119" s="302"/>
      <c r="BB119" s="302"/>
      <c r="BC119" s="302"/>
      <c r="BD119" s="302"/>
      <c r="BE119" s="302"/>
      <c r="BF119" s="302"/>
      <c r="BG119" s="302"/>
      <c r="BH119" s="302"/>
      <c r="BI119" s="302"/>
      <c r="BJ119" s="302"/>
      <c r="BK119" s="302"/>
      <c r="BL119" s="302"/>
      <c r="BM119" s="302"/>
      <c r="BN119" s="302"/>
      <c r="BO119" s="302"/>
      <c r="BP119" s="302"/>
      <c r="BQ119" s="302"/>
      <c r="BR119" s="302"/>
      <c r="BS119" s="302"/>
      <c r="BT119" s="302"/>
      <c r="BU119" s="302"/>
    </row>
    <row r="120" spans="1:73">
      <c r="A120" s="325"/>
      <c r="B120" s="394"/>
      <c r="C120" s="570" t="s">
        <v>580</v>
      </c>
      <c r="D120" s="572">
        <v>11.9</v>
      </c>
      <c r="E120" s="572">
        <v>9.0050000000000008</v>
      </c>
      <c r="F120" s="395">
        <f t="shared" si="77"/>
        <v>3</v>
      </c>
      <c r="G120" s="382">
        <v>1800</v>
      </c>
      <c r="H120" s="396">
        <f>IF((SUM(AQ120:AZ120))&gt;I120,SUM(AQ120:AZ120),I120)</f>
        <v>8060</v>
      </c>
      <c r="I120" s="396">
        <v>1680</v>
      </c>
      <c r="J120" s="397"/>
      <c r="K120" s="570">
        <v>750</v>
      </c>
      <c r="L120" s="399">
        <f t="shared" si="78"/>
        <v>7.6302000000000003</v>
      </c>
      <c r="M120" s="395">
        <f t="shared" si="79"/>
        <v>7.637142857142857</v>
      </c>
      <c r="N120" s="400">
        <f t="shared" si="80"/>
        <v>2.2628571428571429</v>
      </c>
      <c r="O120" s="365"/>
      <c r="P120" s="401">
        <f t="shared" si="81"/>
        <v>0</v>
      </c>
      <c r="Q120" s="302"/>
      <c r="R120" s="302"/>
      <c r="S120" s="302"/>
      <c r="T120" s="302"/>
      <c r="U120" s="302"/>
      <c r="V120" s="302"/>
      <c r="W120" s="302"/>
      <c r="X120" s="302"/>
      <c r="Y120" s="302"/>
      <c r="Z120" s="302"/>
      <c r="AA120" s="302"/>
      <c r="AB120" s="302"/>
      <c r="AC120" s="302"/>
      <c r="AD120" s="302"/>
      <c r="AE120" s="302"/>
      <c r="AF120" s="302"/>
      <c r="AG120" s="391">
        <v>0</v>
      </c>
      <c r="AH120" s="392">
        <v>0</v>
      </c>
      <c r="AI120" s="392">
        <v>0</v>
      </c>
      <c r="AJ120" s="392">
        <v>0</v>
      </c>
      <c r="AK120" s="392">
        <v>6925</v>
      </c>
      <c r="AL120" s="392">
        <v>8060</v>
      </c>
      <c r="AM120" s="392">
        <v>9950</v>
      </c>
      <c r="AN120" s="392">
        <v>12265.203099319089</v>
      </c>
      <c r="AO120" s="392">
        <v>13315</v>
      </c>
      <c r="AP120" s="393">
        <v>0</v>
      </c>
      <c r="AQ120" s="391">
        <f t="shared" si="82"/>
        <v>0</v>
      </c>
      <c r="AR120" s="392">
        <f t="shared" si="83"/>
        <v>0</v>
      </c>
      <c r="AS120" s="392">
        <f t="shared" si="84"/>
        <v>0</v>
      </c>
      <c r="AT120" s="392">
        <f t="shared" si="85"/>
        <v>0</v>
      </c>
      <c r="AU120" s="392">
        <f t="shared" si="86"/>
        <v>0</v>
      </c>
      <c r="AV120" s="392">
        <f t="shared" si="87"/>
        <v>8060</v>
      </c>
      <c r="AW120" s="392">
        <f t="shared" si="88"/>
        <v>0</v>
      </c>
      <c r="AX120" s="392">
        <f t="shared" si="89"/>
        <v>0</v>
      </c>
      <c r="AY120" s="392">
        <f t="shared" si="90"/>
        <v>0</v>
      </c>
      <c r="AZ120" s="393">
        <f t="shared" si="91"/>
        <v>0</v>
      </c>
      <c r="BA120" s="302"/>
      <c r="BB120" s="302"/>
      <c r="BC120" s="302"/>
      <c r="BD120" s="302"/>
      <c r="BE120" s="302"/>
      <c r="BF120" s="302"/>
      <c r="BG120" s="302"/>
      <c r="BH120" s="302"/>
      <c r="BI120" s="302"/>
      <c r="BJ120" s="302"/>
      <c r="BK120" s="302"/>
      <c r="BL120" s="302"/>
      <c r="BM120" s="302"/>
      <c r="BN120" s="302"/>
      <c r="BO120" s="302"/>
      <c r="BP120" s="302"/>
      <c r="BQ120" s="302"/>
      <c r="BR120" s="302"/>
      <c r="BS120" s="302"/>
      <c r="BT120" s="302"/>
      <c r="BU120" s="302"/>
    </row>
    <row r="121" spans="1:73">
      <c r="A121" s="325"/>
      <c r="B121" s="394"/>
      <c r="C121" s="570" t="s">
        <v>579</v>
      </c>
      <c r="D121" s="572">
        <v>11.4</v>
      </c>
      <c r="E121" s="572">
        <v>8.9420000000000002</v>
      </c>
      <c r="F121" s="395">
        <f t="shared" si="77"/>
        <v>2.5</v>
      </c>
      <c r="G121" s="382">
        <v>1800</v>
      </c>
      <c r="H121" s="396">
        <f t="shared" ref="H121:H184" si="92">IF((SUM(AQ121:AZ121))&gt;I121,SUM(AQ121:AZ121),I121)</f>
        <v>8060</v>
      </c>
      <c r="I121" s="396">
        <v>1681</v>
      </c>
      <c r="J121" s="397"/>
      <c r="K121" s="570">
        <v>750</v>
      </c>
      <c r="L121" s="399">
        <f t="shared" si="78"/>
        <v>6.3585000000000003</v>
      </c>
      <c r="M121" s="395">
        <f t="shared" si="79"/>
        <v>6.3642857142857148</v>
      </c>
      <c r="N121" s="400">
        <f t="shared" si="80"/>
        <v>2.2628571428571429</v>
      </c>
      <c r="O121" s="365"/>
      <c r="P121" s="401">
        <f t="shared" si="81"/>
        <v>0</v>
      </c>
      <c r="Q121" s="302"/>
      <c r="R121" s="302"/>
      <c r="S121" s="302"/>
      <c r="T121" s="302"/>
      <c r="U121" s="302"/>
      <c r="V121" s="302"/>
      <c r="W121" s="302"/>
      <c r="X121" s="302"/>
      <c r="Y121" s="302"/>
      <c r="Z121" s="302"/>
      <c r="AA121" s="302"/>
      <c r="AB121" s="302"/>
      <c r="AC121" s="302"/>
      <c r="AD121" s="302"/>
      <c r="AE121" s="302"/>
      <c r="AF121" s="302"/>
      <c r="AG121" s="391">
        <v>0</v>
      </c>
      <c r="AH121" s="392">
        <v>0</v>
      </c>
      <c r="AI121" s="392">
        <v>0</v>
      </c>
      <c r="AJ121" s="392">
        <v>0</v>
      </c>
      <c r="AK121" s="392">
        <v>6925</v>
      </c>
      <c r="AL121" s="392">
        <v>8060</v>
      </c>
      <c r="AM121" s="392">
        <v>9950</v>
      </c>
      <c r="AN121" s="392">
        <v>12265.203099319089</v>
      </c>
      <c r="AO121" s="392">
        <v>13315</v>
      </c>
      <c r="AP121" s="393">
        <v>0</v>
      </c>
      <c r="AQ121" s="391">
        <f t="shared" si="82"/>
        <v>0</v>
      </c>
      <c r="AR121" s="392">
        <f t="shared" si="83"/>
        <v>0</v>
      </c>
      <c r="AS121" s="392">
        <f t="shared" si="84"/>
        <v>0</v>
      </c>
      <c r="AT121" s="392">
        <f t="shared" si="85"/>
        <v>0</v>
      </c>
      <c r="AU121" s="392">
        <f t="shared" si="86"/>
        <v>0</v>
      </c>
      <c r="AV121" s="392">
        <f t="shared" si="87"/>
        <v>8060</v>
      </c>
      <c r="AW121" s="392">
        <f t="shared" si="88"/>
        <v>0</v>
      </c>
      <c r="AX121" s="392">
        <f t="shared" si="89"/>
        <v>0</v>
      </c>
      <c r="AY121" s="392">
        <f t="shared" si="90"/>
        <v>0</v>
      </c>
      <c r="AZ121" s="393">
        <f t="shared" si="91"/>
        <v>0</v>
      </c>
      <c r="BA121" s="302"/>
      <c r="BB121" s="302"/>
      <c r="BC121" s="302"/>
      <c r="BD121" s="302"/>
      <c r="BE121" s="302"/>
      <c r="BF121" s="302"/>
      <c r="BG121" s="302"/>
      <c r="BH121" s="302"/>
      <c r="BI121" s="302"/>
      <c r="BJ121" s="302"/>
      <c r="BK121" s="302"/>
      <c r="BL121" s="302"/>
      <c r="BM121" s="302"/>
      <c r="BN121" s="302"/>
      <c r="BO121" s="302"/>
      <c r="BP121" s="302"/>
      <c r="BQ121" s="302"/>
      <c r="BR121" s="302"/>
      <c r="BS121" s="302"/>
      <c r="BT121" s="302"/>
      <c r="BU121" s="302"/>
    </row>
    <row r="122" spans="1:73">
      <c r="A122" s="325"/>
      <c r="B122" s="394"/>
      <c r="C122" s="570" t="s">
        <v>578</v>
      </c>
      <c r="D122" s="572">
        <v>11.3</v>
      </c>
      <c r="E122" s="572">
        <v>8.9079999999999995</v>
      </c>
      <c r="F122" s="395">
        <f t="shared" si="77"/>
        <v>2.5</v>
      </c>
      <c r="G122" s="382">
        <v>1800</v>
      </c>
      <c r="H122" s="396">
        <f t="shared" si="92"/>
        <v>7480</v>
      </c>
      <c r="I122" s="396">
        <v>1682</v>
      </c>
      <c r="J122" s="397"/>
      <c r="K122" s="570">
        <v>750</v>
      </c>
      <c r="L122" s="399">
        <f t="shared" si="78"/>
        <v>6.3585000000000003</v>
      </c>
      <c r="M122" s="395">
        <f t="shared" si="79"/>
        <v>6.3642857142857148</v>
      </c>
      <c r="N122" s="400">
        <f t="shared" si="80"/>
        <v>2.2628571428571429</v>
      </c>
      <c r="O122" s="365"/>
      <c r="P122" s="401">
        <f t="shared" si="81"/>
        <v>0</v>
      </c>
      <c r="Q122" s="302"/>
      <c r="R122" s="302"/>
      <c r="S122" s="302"/>
      <c r="T122" s="302"/>
      <c r="U122" s="302"/>
      <c r="V122" s="302"/>
      <c r="W122" s="302"/>
      <c r="X122" s="302"/>
      <c r="Y122" s="302"/>
      <c r="Z122" s="302"/>
      <c r="AA122" s="302"/>
      <c r="AB122" s="302"/>
      <c r="AC122" s="302"/>
      <c r="AD122" s="302"/>
      <c r="AE122" s="302"/>
      <c r="AF122" s="302"/>
      <c r="AG122" s="391">
        <v>0</v>
      </c>
      <c r="AH122" s="392">
        <v>0</v>
      </c>
      <c r="AI122" s="392">
        <v>5550</v>
      </c>
      <c r="AJ122" s="392">
        <v>6662</v>
      </c>
      <c r="AK122" s="392">
        <v>6525</v>
      </c>
      <c r="AL122" s="392">
        <v>7480</v>
      </c>
      <c r="AM122" s="392">
        <v>9234</v>
      </c>
      <c r="AN122" s="392">
        <v>11382.601549659545</v>
      </c>
      <c r="AO122" s="392">
        <v>12015</v>
      </c>
      <c r="AP122" s="393">
        <v>13015</v>
      </c>
      <c r="AQ122" s="391">
        <f t="shared" si="82"/>
        <v>0</v>
      </c>
      <c r="AR122" s="392">
        <f t="shared" si="83"/>
        <v>0</v>
      </c>
      <c r="AS122" s="392">
        <f t="shared" si="84"/>
        <v>0</v>
      </c>
      <c r="AT122" s="392">
        <f t="shared" si="85"/>
        <v>0</v>
      </c>
      <c r="AU122" s="392">
        <f t="shared" si="86"/>
        <v>0</v>
      </c>
      <c r="AV122" s="392">
        <f t="shared" si="87"/>
        <v>7480</v>
      </c>
      <c r="AW122" s="392">
        <f t="shared" si="88"/>
        <v>0</v>
      </c>
      <c r="AX122" s="392">
        <f t="shared" si="89"/>
        <v>0</v>
      </c>
      <c r="AY122" s="392">
        <f t="shared" si="90"/>
        <v>0</v>
      </c>
      <c r="AZ122" s="393">
        <f t="shared" si="91"/>
        <v>0</v>
      </c>
      <c r="BA122" s="302"/>
      <c r="BB122" s="302"/>
      <c r="BC122" s="302"/>
      <c r="BD122" s="302"/>
      <c r="BE122" s="302"/>
      <c r="BF122" s="302"/>
      <c r="BG122" s="302"/>
      <c r="BH122" s="302"/>
      <c r="BI122" s="302"/>
      <c r="BJ122" s="302"/>
      <c r="BK122" s="302"/>
      <c r="BL122" s="302"/>
      <c r="BM122" s="302"/>
      <c r="BN122" s="302"/>
      <c r="BO122" s="302"/>
      <c r="BP122" s="302"/>
      <c r="BQ122" s="302"/>
      <c r="BR122" s="302"/>
      <c r="BS122" s="302"/>
      <c r="BT122" s="302"/>
      <c r="BU122" s="302"/>
    </row>
    <row r="123" spans="1:73">
      <c r="A123" s="325"/>
      <c r="B123" s="394"/>
      <c r="C123" s="570" t="s">
        <v>577</v>
      </c>
      <c r="D123" s="572">
        <v>11.1</v>
      </c>
      <c r="E123" s="572">
        <v>8.8770000000000007</v>
      </c>
      <c r="F123" s="395">
        <f t="shared" si="77"/>
        <v>2.25</v>
      </c>
      <c r="G123" s="382">
        <v>1800</v>
      </c>
      <c r="H123" s="396">
        <f t="shared" si="92"/>
        <v>6320</v>
      </c>
      <c r="I123" s="396">
        <v>1683</v>
      </c>
      <c r="J123" s="397"/>
      <c r="K123" s="570">
        <v>750</v>
      </c>
      <c r="L123" s="399">
        <f t="shared" si="78"/>
        <v>5.7226499999999998</v>
      </c>
      <c r="M123" s="395">
        <f t="shared" si="79"/>
        <v>5.7278571428571432</v>
      </c>
      <c r="N123" s="400">
        <f t="shared" si="80"/>
        <v>2.2628571428571429</v>
      </c>
      <c r="O123" s="365"/>
      <c r="P123" s="401">
        <f t="shared" si="81"/>
        <v>0</v>
      </c>
      <c r="Q123" s="302"/>
      <c r="R123" s="302"/>
      <c r="S123" s="302"/>
      <c r="T123" s="302"/>
      <c r="U123" s="302"/>
      <c r="V123" s="302"/>
      <c r="W123" s="302"/>
      <c r="X123" s="302"/>
      <c r="Y123" s="302"/>
      <c r="Z123" s="302"/>
      <c r="AA123" s="302"/>
      <c r="AB123" s="302"/>
      <c r="AC123" s="302"/>
      <c r="AD123" s="302"/>
      <c r="AE123" s="302"/>
      <c r="AF123" s="302"/>
      <c r="AG123" s="391">
        <v>0</v>
      </c>
      <c r="AH123" s="392">
        <v>0</v>
      </c>
      <c r="AI123" s="392">
        <v>4575</v>
      </c>
      <c r="AJ123" s="392">
        <v>5090</v>
      </c>
      <c r="AK123" s="392">
        <v>5725</v>
      </c>
      <c r="AL123" s="392">
        <v>6320</v>
      </c>
      <c r="AM123" s="392">
        <v>7750</v>
      </c>
      <c r="AN123" s="392">
        <v>8945</v>
      </c>
      <c r="AO123" s="392">
        <v>9415</v>
      </c>
      <c r="AP123" s="393">
        <v>10415</v>
      </c>
      <c r="AQ123" s="391">
        <f t="shared" si="82"/>
        <v>0</v>
      </c>
      <c r="AR123" s="392">
        <f t="shared" si="83"/>
        <v>0</v>
      </c>
      <c r="AS123" s="392">
        <f t="shared" si="84"/>
        <v>0</v>
      </c>
      <c r="AT123" s="392">
        <f t="shared" si="85"/>
        <v>0</v>
      </c>
      <c r="AU123" s="392">
        <f t="shared" si="86"/>
        <v>0</v>
      </c>
      <c r="AV123" s="392">
        <f t="shared" si="87"/>
        <v>6320</v>
      </c>
      <c r="AW123" s="392">
        <f t="shared" si="88"/>
        <v>0</v>
      </c>
      <c r="AX123" s="392">
        <f t="shared" si="89"/>
        <v>0</v>
      </c>
      <c r="AY123" s="392">
        <f t="shared" si="90"/>
        <v>0</v>
      </c>
      <c r="AZ123" s="393">
        <f t="shared" si="91"/>
        <v>0</v>
      </c>
      <c r="BA123" s="302"/>
      <c r="BB123" s="302"/>
      <c r="BC123" s="302"/>
      <c r="BD123" s="302"/>
      <c r="BE123" s="302"/>
      <c r="BF123" s="302"/>
      <c r="BG123" s="302"/>
      <c r="BH123" s="302"/>
      <c r="BI123" s="302"/>
      <c r="BJ123" s="302"/>
      <c r="BK123" s="302"/>
      <c r="BL123" s="302"/>
      <c r="BM123" s="302"/>
      <c r="BN123" s="302"/>
      <c r="BO123" s="302"/>
      <c r="BP123" s="302"/>
      <c r="BQ123" s="302"/>
      <c r="BR123" s="302"/>
      <c r="BS123" s="302"/>
      <c r="BT123" s="302"/>
      <c r="BU123" s="302"/>
    </row>
    <row r="124" spans="1:73">
      <c r="A124" s="325"/>
      <c r="B124" s="394"/>
      <c r="C124" s="570" t="s">
        <v>569</v>
      </c>
      <c r="D124" s="572">
        <v>11</v>
      </c>
      <c r="E124" s="572">
        <v>8.8490000000000002</v>
      </c>
      <c r="F124" s="395">
        <f t="shared" si="77"/>
        <v>2.25</v>
      </c>
      <c r="G124" s="382">
        <v>1800</v>
      </c>
      <c r="H124" s="396">
        <f t="shared" si="92"/>
        <v>4440</v>
      </c>
      <c r="I124" s="396">
        <v>1684</v>
      </c>
      <c r="J124" s="397"/>
      <c r="K124" s="570">
        <v>750</v>
      </c>
      <c r="L124" s="399">
        <f t="shared" si="78"/>
        <v>5.7226499999999998</v>
      </c>
      <c r="M124" s="395">
        <f t="shared" si="79"/>
        <v>5.7278571428571432</v>
      </c>
      <c r="N124" s="400">
        <f t="shared" si="80"/>
        <v>2.2628571428571429</v>
      </c>
      <c r="O124" s="365"/>
      <c r="P124" s="401">
        <f t="shared" si="81"/>
        <v>0</v>
      </c>
      <c r="Q124" s="302"/>
      <c r="R124" s="302"/>
      <c r="S124" s="302"/>
      <c r="T124" s="302"/>
      <c r="U124" s="302"/>
      <c r="V124" s="302"/>
      <c r="W124" s="302"/>
      <c r="X124" s="302"/>
      <c r="Y124" s="302"/>
      <c r="Z124" s="302"/>
      <c r="AA124" s="302"/>
      <c r="AB124" s="302"/>
      <c r="AC124" s="302"/>
      <c r="AD124" s="302"/>
      <c r="AE124" s="302"/>
      <c r="AF124" s="302"/>
      <c r="AG124" s="391">
        <v>0</v>
      </c>
      <c r="AH124" s="392">
        <v>0</v>
      </c>
      <c r="AI124" s="392">
        <v>3890</v>
      </c>
      <c r="AJ124" s="392">
        <v>4345</v>
      </c>
      <c r="AK124" s="392">
        <v>4940</v>
      </c>
      <c r="AL124" s="392">
        <v>4440</v>
      </c>
      <c r="AM124" s="392">
        <v>5403</v>
      </c>
      <c r="AN124" s="392">
        <v>6956</v>
      </c>
      <c r="AO124" s="392">
        <v>8300</v>
      </c>
      <c r="AP124" s="393">
        <v>9030</v>
      </c>
      <c r="AQ124" s="391">
        <f t="shared" si="82"/>
        <v>0</v>
      </c>
      <c r="AR124" s="392">
        <f t="shared" si="83"/>
        <v>0</v>
      </c>
      <c r="AS124" s="392">
        <f t="shared" si="84"/>
        <v>0</v>
      </c>
      <c r="AT124" s="392">
        <f t="shared" si="85"/>
        <v>0</v>
      </c>
      <c r="AU124" s="392">
        <f t="shared" si="86"/>
        <v>0</v>
      </c>
      <c r="AV124" s="392">
        <f t="shared" si="87"/>
        <v>4440</v>
      </c>
      <c r="AW124" s="392">
        <f t="shared" si="88"/>
        <v>0</v>
      </c>
      <c r="AX124" s="392">
        <f t="shared" si="89"/>
        <v>0</v>
      </c>
      <c r="AY124" s="392">
        <f t="shared" si="90"/>
        <v>0</v>
      </c>
      <c r="AZ124" s="393">
        <f t="shared" si="91"/>
        <v>0</v>
      </c>
      <c r="BA124" s="302"/>
      <c r="BB124" s="302"/>
      <c r="BC124" s="302"/>
      <c r="BD124" s="302"/>
      <c r="BE124" s="302"/>
      <c r="BF124" s="302"/>
      <c r="BG124" s="302"/>
      <c r="BH124" s="302"/>
      <c r="BI124" s="302"/>
      <c r="BJ124" s="302"/>
      <c r="BK124" s="302"/>
      <c r="BL124" s="302"/>
      <c r="BM124" s="302"/>
      <c r="BN124" s="302"/>
      <c r="BO124" s="302"/>
      <c r="BP124" s="302"/>
      <c r="BQ124" s="302"/>
      <c r="BR124" s="302"/>
      <c r="BS124" s="302"/>
      <c r="BT124" s="302"/>
      <c r="BU124" s="302"/>
    </row>
    <row r="125" spans="1:73">
      <c r="A125" s="325"/>
      <c r="B125" s="394"/>
      <c r="C125" s="570" t="s">
        <v>576</v>
      </c>
      <c r="D125" s="572">
        <v>10.8</v>
      </c>
      <c r="E125" s="572">
        <v>8.7789999999999999</v>
      </c>
      <c r="F125" s="395">
        <f t="shared" si="77"/>
        <v>2.25</v>
      </c>
      <c r="G125" s="382">
        <v>1800</v>
      </c>
      <c r="H125" s="396">
        <f t="shared" si="92"/>
        <v>4168</v>
      </c>
      <c r="I125" s="396">
        <v>1685</v>
      </c>
      <c r="J125" s="397"/>
      <c r="K125" s="570">
        <v>750</v>
      </c>
      <c r="L125" s="399">
        <f t="shared" si="78"/>
        <v>5.7226499999999998</v>
      </c>
      <c r="M125" s="395">
        <f t="shared" si="79"/>
        <v>5.7278571428571432</v>
      </c>
      <c r="N125" s="400">
        <f t="shared" si="80"/>
        <v>2.2628571428571429</v>
      </c>
      <c r="O125" s="365"/>
      <c r="P125" s="401">
        <f t="shared" si="81"/>
        <v>0</v>
      </c>
      <c r="Q125" s="302"/>
      <c r="R125" s="302"/>
      <c r="S125" s="302"/>
      <c r="T125" s="302"/>
      <c r="U125" s="302"/>
      <c r="V125" s="302"/>
      <c r="W125" s="302"/>
      <c r="X125" s="302"/>
      <c r="Y125" s="302"/>
      <c r="Z125" s="302"/>
      <c r="AA125" s="302"/>
      <c r="AB125" s="302"/>
      <c r="AC125" s="302"/>
      <c r="AD125" s="302"/>
      <c r="AE125" s="302"/>
      <c r="AF125" s="302"/>
      <c r="AG125" s="391">
        <v>0</v>
      </c>
      <c r="AH125" s="392">
        <v>0</v>
      </c>
      <c r="AI125" s="392">
        <v>2370</v>
      </c>
      <c r="AJ125" s="392">
        <v>2590</v>
      </c>
      <c r="AK125" s="392">
        <v>3370</v>
      </c>
      <c r="AL125" s="392">
        <v>4168</v>
      </c>
      <c r="AM125" s="392">
        <v>5072</v>
      </c>
      <c r="AN125" s="392">
        <v>6409</v>
      </c>
      <c r="AO125" s="392">
        <v>7770</v>
      </c>
      <c r="AP125" s="393">
        <v>10436</v>
      </c>
      <c r="AQ125" s="391">
        <f t="shared" si="82"/>
        <v>0</v>
      </c>
      <c r="AR125" s="392">
        <f t="shared" si="83"/>
        <v>0</v>
      </c>
      <c r="AS125" s="392">
        <f t="shared" si="84"/>
        <v>0</v>
      </c>
      <c r="AT125" s="392">
        <f t="shared" si="85"/>
        <v>0</v>
      </c>
      <c r="AU125" s="392">
        <f t="shared" si="86"/>
        <v>0</v>
      </c>
      <c r="AV125" s="392">
        <f t="shared" si="87"/>
        <v>4168</v>
      </c>
      <c r="AW125" s="392">
        <f t="shared" si="88"/>
        <v>0</v>
      </c>
      <c r="AX125" s="392">
        <f t="shared" si="89"/>
        <v>0</v>
      </c>
      <c r="AY125" s="392">
        <f t="shared" si="90"/>
        <v>0</v>
      </c>
      <c r="AZ125" s="393">
        <f t="shared" si="91"/>
        <v>0</v>
      </c>
      <c r="BA125" s="302"/>
      <c r="BB125" s="302"/>
      <c r="BC125" s="302"/>
      <c r="BD125" s="302"/>
      <c r="BE125" s="302"/>
      <c r="BF125" s="302"/>
      <c r="BG125" s="302"/>
      <c r="BH125" s="302"/>
      <c r="BI125" s="302"/>
      <c r="BJ125" s="302"/>
      <c r="BK125" s="302"/>
      <c r="BL125" s="302"/>
      <c r="BM125" s="302"/>
      <c r="BN125" s="302"/>
      <c r="BO125" s="302"/>
      <c r="BP125" s="302"/>
      <c r="BQ125" s="302"/>
      <c r="BR125" s="302"/>
      <c r="BS125" s="302"/>
      <c r="BT125" s="302"/>
      <c r="BU125" s="302"/>
    </row>
    <row r="126" spans="1:73">
      <c r="A126" s="325"/>
      <c r="B126" s="394">
        <v>1</v>
      </c>
      <c r="C126" s="570"/>
      <c r="D126" s="572"/>
      <c r="E126" s="572"/>
      <c r="F126" s="395">
        <f t="shared" si="77"/>
        <v>0</v>
      </c>
      <c r="G126" s="382"/>
      <c r="H126" s="396">
        <f t="shared" si="92"/>
        <v>1686</v>
      </c>
      <c r="I126" s="396">
        <v>1686</v>
      </c>
      <c r="J126" s="397"/>
      <c r="K126" s="570"/>
      <c r="L126" s="399">
        <f t="shared" si="78"/>
        <v>0</v>
      </c>
      <c r="M126" s="395">
        <f t="shared" si="79"/>
        <v>0</v>
      </c>
      <c r="N126" s="400">
        <f t="shared" si="80"/>
        <v>0</v>
      </c>
      <c r="O126" s="365"/>
      <c r="P126" s="401">
        <f t="shared" si="81"/>
        <v>0</v>
      </c>
      <c r="Q126" s="302"/>
      <c r="R126" s="302"/>
      <c r="S126" s="302"/>
      <c r="T126" s="302"/>
      <c r="U126" s="302"/>
      <c r="V126" s="302"/>
      <c r="W126" s="302"/>
      <c r="X126" s="302"/>
      <c r="Y126" s="302"/>
      <c r="Z126" s="302"/>
      <c r="AA126" s="302"/>
      <c r="AB126" s="302"/>
      <c r="AC126" s="302"/>
      <c r="AD126" s="302"/>
      <c r="AE126" s="302"/>
      <c r="AF126" s="302"/>
      <c r="AG126" s="391">
        <v>0</v>
      </c>
      <c r="AH126" s="392">
        <v>0</v>
      </c>
      <c r="AI126" s="392">
        <v>2060</v>
      </c>
      <c r="AJ126" s="392">
        <v>2390</v>
      </c>
      <c r="AK126" s="392">
        <v>2890</v>
      </c>
      <c r="AL126" s="392">
        <v>3385</v>
      </c>
      <c r="AM126" s="392">
        <v>4120</v>
      </c>
      <c r="AN126" s="392">
        <v>6101</v>
      </c>
      <c r="AO126" s="392">
        <v>6820</v>
      </c>
      <c r="AP126" s="393">
        <v>9160</v>
      </c>
      <c r="AQ126" s="391">
        <f t="shared" si="82"/>
        <v>0</v>
      </c>
      <c r="AR126" s="392">
        <f t="shared" si="83"/>
        <v>0</v>
      </c>
      <c r="AS126" s="392">
        <f t="shared" si="84"/>
        <v>0</v>
      </c>
      <c r="AT126" s="392">
        <f t="shared" si="85"/>
        <v>0</v>
      </c>
      <c r="AU126" s="392">
        <f t="shared" si="86"/>
        <v>0</v>
      </c>
      <c r="AV126" s="392">
        <f t="shared" si="87"/>
        <v>0</v>
      </c>
      <c r="AW126" s="392">
        <f t="shared" si="88"/>
        <v>0</v>
      </c>
      <c r="AX126" s="392">
        <f t="shared" si="89"/>
        <v>0</v>
      </c>
      <c r="AY126" s="392">
        <f t="shared" si="90"/>
        <v>0</v>
      </c>
      <c r="AZ126" s="393">
        <f t="shared" si="91"/>
        <v>0</v>
      </c>
      <c r="BA126" s="302"/>
      <c r="BB126" s="302"/>
      <c r="BC126" s="302"/>
      <c r="BD126" s="302"/>
      <c r="BE126" s="302"/>
      <c r="BF126" s="302"/>
      <c r="BG126" s="302"/>
      <c r="BH126" s="302"/>
      <c r="BI126" s="302"/>
      <c r="BJ126" s="302"/>
      <c r="BK126" s="302"/>
      <c r="BL126" s="302"/>
      <c r="BM126" s="302"/>
      <c r="BN126" s="302"/>
      <c r="BO126" s="302"/>
      <c r="BP126" s="302"/>
      <c r="BQ126" s="302"/>
      <c r="BR126" s="302"/>
      <c r="BS126" s="302"/>
      <c r="BT126" s="302"/>
      <c r="BU126" s="302"/>
    </row>
    <row r="127" spans="1:73" s="416" customFormat="1">
      <c r="A127" s="402"/>
      <c r="B127" s="403"/>
      <c r="C127" s="570" t="s">
        <v>575</v>
      </c>
      <c r="D127" s="572">
        <v>11</v>
      </c>
      <c r="E127" s="572">
        <v>8.74</v>
      </c>
      <c r="F127" s="404">
        <f t="shared" si="77"/>
        <v>2.5</v>
      </c>
      <c r="G127" s="382">
        <v>1800</v>
      </c>
      <c r="H127" s="396">
        <f t="shared" si="92"/>
        <v>8350</v>
      </c>
      <c r="I127" s="396">
        <v>1687</v>
      </c>
      <c r="J127" s="406"/>
      <c r="K127" s="570">
        <v>900</v>
      </c>
      <c r="L127" s="407">
        <f t="shared" si="78"/>
        <v>6.3585000000000003</v>
      </c>
      <c r="M127" s="404">
        <f t="shared" si="79"/>
        <v>6.3642857142857148</v>
      </c>
      <c r="N127" s="408">
        <f t="shared" si="80"/>
        <v>2.2628571428571429</v>
      </c>
      <c r="O127" s="409"/>
      <c r="P127" s="410">
        <f t="shared" si="81"/>
        <v>0</v>
      </c>
      <c r="Q127" s="411"/>
      <c r="R127" s="411"/>
      <c r="S127" s="411"/>
      <c r="T127" s="412"/>
      <c r="U127" s="412"/>
      <c r="V127" s="412"/>
      <c r="W127" s="412"/>
      <c r="X127" s="412"/>
      <c r="Y127" s="412"/>
      <c r="Z127" s="412"/>
      <c r="AA127" s="412"/>
      <c r="AB127" s="412"/>
      <c r="AC127" s="412"/>
      <c r="AD127" s="412"/>
      <c r="AE127" s="412"/>
      <c r="AF127" s="412"/>
      <c r="AG127" s="413">
        <v>0</v>
      </c>
      <c r="AH127" s="414">
        <v>0</v>
      </c>
      <c r="AI127" s="414">
        <v>0</v>
      </c>
      <c r="AJ127" s="414">
        <v>0</v>
      </c>
      <c r="AK127" s="414">
        <v>7075</v>
      </c>
      <c r="AL127" s="414">
        <v>8350</v>
      </c>
      <c r="AM127" s="414">
        <v>10308</v>
      </c>
      <c r="AN127" s="414">
        <v>12706.503874148862</v>
      </c>
      <c r="AO127" s="414">
        <v>13965</v>
      </c>
      <c r="AP127" s="415">
        <v>0</v>
      </c>
      <c r="AQ127" s="413">
        <f t="shared" si="82"/>
        <v>0</v>
      </c>
      <c r="AR127" s="414">
        <f t="shared" si="83"/>
        <v>0</v>
      </c>
      <c r="AS127" s="414">
        <f t="shared" si="84"/>
        <v>0</v>
      </c>
      <c r="AT127" s="414">
        <f t="shared" si="85"/>
        <v>0</v>
      </c>
      <c r="AU127" s="414">
        <f t="shared" si="86"/>
        <v>0</v>
      </c>
      <c r="AV127" s="414">
        <f t="shared" si="87"/>
        <v>8350</v>
      </c>
      <c r="AW127" s="414">
        <f t="shared" si="88"/>
        <v>0</v>
      </c>
      <c r="AX127" s="414">
        <f t="shared" si="89"/>
        <v>0</v>
      </c>
      <c r="AY127" s="414">
        <f t="shared" si="90"/>
        <v>0</v>
      </c>
      <c r="AZ127" s="415">
        <f t="shared" si="91"/>
        <v>0</v>
      </c>
      <c r="BA127" s="412"/>
      <c r="BB127" s="412"/>
      <c r="BC127" s="412"/>
      <c r="BD127" s="412"/>
      <c r="BE127" s="412"/>
      <c r="BF127" s="412"/>
      <c r="BG127" s="412"/>
      <c r="BH127" s="412"/>
      <c r="BI127" s="412"/>
      <c r="BJ127" s="412"/>
      <c r="BK127" s="412"/>
      <c r="BL127" s="412"/>
      <c r="BM127" s="412"/>
      <c r="BN127" s="412"/>
      <c r="BO127" s="412"/>
      <c r="BP127" s="412"/>
      <c r="BQ127" s="412"/>
      <c r="BR127" s="412"/>
      <c r="BS127" s="412"/>
      <c r="BT127" s="412"/>
      <c r="BU127" s="412"/>
    </row>
    <row r="128" spans="1:73">
      <c r="A128" s="325"/>
      <c r="B128" s="394"/>
      <c r="C128" s="570"/>
      <c r="D128" s="572"/>
      <c r="E128" s="572"/>
      <c r="F128" s="395">
        <f t="shared" si="77"/>
        <v>0</v>
      </c>
      <c r="G128" s="382"/>
      <c r="H128" s="396">
        <f t="shared" si="92"/>
        <v>1688</v>
      </c>
      <c r="I128" s="396">
        <v>1688</v>
      </c>
      <c r="J128" s="397"/>
      <c r="K128" s="570"/>
      <c r="L128" s="399">
        <f t="shared" si="78"/>
        <v>0</v>
      </c>
      <c r="M128" s="395">
        <f t="shared" si="79"/>
        <v>0</v>
      </c>
      <c r="N128" s="400">
        <f t="shared" si="80"/>
        <v>0</v>
      </c>
      <c r="O128" s="365"/>
      <c r="P128" s="401">
        <f t="shared" si="81"/>
        <v>0</v>
      </c>
      <c r="Q128" s="302"/>
      <c r="R128" s="302"/>
      <c r="S128" s="302"/>
      <c r="T128" s="302"/>
      <c r="U128" s="302"/>
      <c r="V128" s="302"/>
      <c r="W128" s="302"/>
      <c r="X128" s="302"/>
      <c r="Y128" s="302"/>
      <c r="Z128" s="302"/>
      <c r="AA128" s="302"/>
      <c r="AB128" s="302"/>
      <c r="AC128" s="302"/>
      <c r="AD128" s="302"/>
      <c r="AE128" s="302"/>
      <c r="AF128" s="302"/>
      <c r="AG128" s="391">
        <v>0</v>
      </c>
      <c r="AH128" s="392">
        <v>0</v>
      </c>
      <c r="AI128" s="392">
        <v>5065</v>
      </c>
      <c r="AJ128" s="392">
        <v>5690</v>
      </c>
      <c r="AK128" s="392">
        <v>6125</v>
      </c>
      <c r="AL128" s="392">
        <v>6900</v>
      </c>
      <c r="AM128" s="392">
        <v>8518</v>
      </c>
      <c r="AN128" s="392">
        <v>10500</v>
      </c>
      <c r="AO128" s="392">
        <v>10715</v>
      </c>
      <c r="AP128" s="393">
        <v>11715</v>
      </c>
      <c r="AQ128" s="391">
        <f t="shared" si="82"/>
        <v>0</v>
      </c>
      <c r="AR128" s="392">
        <f t="shared" si="83"/>
        <v>0</v>
      </c>
      <c r="AS128" s="392">
        <f t="shared" si="84"/>
        <v>0</v>
      </c>
      <c r="AT128" s="392">
        <f t="shared" si="85"/>
        <v>0</v>
      </c>
      <c r="AU128" s="392">
        <f t="shared" si="86"/>
        <v>0</v>
      </c>
      <c r="AV128" s="392">
        <f t="shared" si="87"/>
        <v>0</v>
      </c>
      <c r="AW128" s="392">
        <f t="shared" si="88"/>
        <v>0</v>
      </c>
      <c r="AX128" s="392">
        <f t="shared" si="89"/>
        <v>0</v>
      </c>
      <c r="AY128" s="392">
        <f t="shared" si="90"/>
        <v>0</v>
      </c>
      <c r="AZ128" s="393">
        <f t="shared" si="91"/>
        <v>0</v>
      </c>
      <c r="BA128" s="302"/>
      <c r="BB128" s="302"/>
      <c r="BC128" s="302"/>
      <c r="BD128" s="302"/>
      <c r="BE128" s="302"/>
      <c r="BF128" s="302"/>
      <c r="BG128" s="302"/>
      <c r="BH128" s="302"/>
      <c r="BI128" s="302"/>
      <c r="BJ128" s="302"/>
      <c r="BK128" s="302"/>
      <c r="BL128" s="302"/>
      <c r="BM128" s="302"/>
      <c r="BN128" s="302"/>
      <c r="BO128" s="302"/>
      <c r="BP128" s="302"/>
      <c r="BQ128" s="302"/>
      <c r="BR128" s="302"/>
      <c r="BS128" s="302"/>
      <c r="BT128" s="302"/>
      <c r="BU128" s="302"/>
    </row>
    <row r="129" spans="1:73">
      <c r="A129" s="325"/>
      <c r="B129" s="394">
        <v>1</v>
      </c>
      <c r="C129" s="570" t="s">
        <v>574</v>
      </c>
      <c r="D129" s="572">
        <v>10.7</v>
      </c>
      <c r="E129" s="572">
        <v>8.5779999999999994</v>
      </c>
      <c r="F129" s="395">
        <f t="shared" si="77"/>
        <v>2.25</v>
      </c>
      <c r="G129" s="382">
        <v>1800</v>
      </c>
      <c r="H129" s="396">
        <f t="shared" si="92"/>
        <v>3385</v>
      </c>
      <c r="I129" s="396">
        <v>1689</v>
      </c>
      <c r="J129" s="397"/>
      <c r="K129" s="570">
        <v>900</v>
      </c>
      <c r="L129" s="399">
        <f t="shared" si="78"/>
        <v>5.7226499999999998</v>
      </c>
      <c r="M129" s="395">
        <f t="shared" si="79"/>
        <v>5.7278571428571432</v>
      </c>
      <c r="N129" s="400">
        <f t="shared" si="80"/>
        <v>2.2628571428571429</v>
      </c>
      <c r="O129" s="365"/>
      <c r="P129" s="401">
        <f t="shared" si="81"/>
        <v>0</v>
      </c>
      <c r="Q129" s="302"/>
      <c r="R129" s="302"/>
      <c r="S129" s="302"/>
      <c r="T129" s="302"/>
      <c r="U129" s="302"/>
      <c r="V129" s="302"/>
      <c r="W129" s="302"/>
      <c r="X129" s="302"/>
      <c r="Y129" s="302"/>
      <c r="Z129" s="302"/>
      <c r="AA129" s="302"/>
      <c r="AB129" s="302"/>
      <c r="AC129" s="302"/>
      <c r="AD129" s="302"/>
      <c r="AE129" s="302"/>
      <c r="AF129" s="302"/>
      <c r="AG129" s="391">
        <v>0</v>
      </c>
      <c r="AH129" s="392">
        <v>0</v>
      </c>
      <c r="AI129" s="392">
        <v>2060</v>
      </c>
      <c r="AJ129" s="392">
        <v>2390</v>
      </c>
      <c r="AK129" s="392">
        <v>2890</v>
      </c>
      <c r="AL129" s="392">
        <v>3385</v>
      </c>
      <c r="AM129" s="392">
        <v>4120</v>
      </c>
      <c r="AN129" s="392">
        <v>6101</v>
      </c>
      <c r="AO129" s="392">
        <v>6820</v>
      </c>
      <c r="AP129" s="393">
        <v>9160</v>
      </c>
      <c r="AQ129" s="391">
        <f t="shared" si="82"/>
        <v>0</v>
      </c>
      <c r="AR129" s="392">
        <f t="shared" si="83"/>
        <v>0</v>
      </c>
      <c r="AS129" s="392">
        <f t="shared" si="84"/>
        <v>0</v>
      </c>
      <c r="AT129" s="392">
        <f t="shared" si="85"/>
        <v>0</v>
      </c>
      <c r="AU129" s="392">
        <f t="shared" si="86"/>
        <v>0</v>
      </c>
      <c r="AV129" s="392">
        <f t="shared" si="87"/>
        <v>3385</v>
      </c>
      <c r="AW129" s="392">
        <f t="shared" si="88"/>
        <v>0</v>
      </c>
      <c r="AX129" s="392">
        <f t="shared" si="89"/>
        <v>0</v>
      </c>
      <c r="AY129" s="392">
        <f t="shared" si="90"/>
        <v>0</v>
      </c>
      <c r="AZ129" s="393">
        <f t="shared" si="91"/>
        <v>0</v>
      </c>
      <c r="BA129" s="302"/>
      <c r="BB129" s="302"/>
      <c r="BC129" s="302"/>
      <c r="BD129" s="302"/>
      <c r="BE129" s="302"/>
      <c r="BF129" s="302"/>
      <c r="BG129" s="302"/>
      <c r="BH129" s="302"/>
      <c r="BI129" s="302"/>
      <c r="BJ129" s="302"/>
      <c r="BK129" s="302"/>
      <c r="BL129" s="302"/>
      <c r="BM129" s="302"/>
      <c r="BN129" s="302"/>
      <c r="BO129" s="302"/>
      <c r="BP129" s="302"/>
      <c r="BQ129" s="302"/>
      <c r="BR129" s="302"/>
      <c r="BS129" s="302"/>
      <c r="BT129" s="302"/>
      <c r="BU129" s="302"/>
    </row>
    <row r="130" spans="1:73">
      <c r="A130" s="325"/>
      <c r="B130" s="394"/>
      <c r="C130" s="570" t="s">
        <v>573</v>
      </c>
      <c r="D130" s="572">
        <v>10.8</v>
      </c>
      <c r="E130" s="572">
        <v>8.5429999999999993</v>
      </c>
      <c r="F130" s="395">
        <f t="shared" si="77"/>
        <v>2.5</v>
      </c>
      <c r="G130" s="382">
        <v>1800</v>
      </c>
      <c r="H130" s="396">
        <f t="shared" si="92"/>
        <v>4440</v>
      </c>
      <c r="I130" s="396">
        <v>1690</v>
      </c>
      <c r="J130" s="397"/>
      <c r="K130" s="570">
        <v>900</v>
      </c>
      <c r="L130" s="399">
        <f t="shared" si="78"/>
        <v>6.3585000000000003</v>
      </c>
      <c r="M130" s="395">
        <f t="shared" si="79"/>
        <v>6.3642857142857148</v>
      </c>
      <c r="N130" s="400">
        <f t="shared" si="80"/>
        <v>2.2628571428571429</v>
      </c>
      <c r="O130" s="365"/>
      <c r="P130" s="401">
        <f t="shared" si="81"/>
        <v>0</v>
      </c>
      <c r="Q130" s="302"/>
      <c r="R130" s="302"/>
      <c r="S130" s="302"/>
      <c r="T130" s="302"/>
      <c r="U130" s="302"/>
      <c r="V130" s="302"/>
      <c r="W130" s="302"/>
      <c r="X130" s="302"/>
      <c r="Y130" s="302"/>
      <c r="Z130" s="302"/>
      <c r="AA130" s="302"/>
      <c r="AB130" s="302"/>
      <c r="AC130" s="302"/>
      <c r="AD130" s="302"/>
      <c r="AE130" s="302"/>
      <c r="AF130" s="302"/>
      <c r="AG130" s="391">
        <v>0</v>
      </c>
      <c r="AH130" s="392">
        <v>0</v>
      </c>
      <c r="AI130" s="392">
        <v>3890</v>
      </c>
      <c r="AJ130" s="392">
        <v>4345</v>
      </c>
      <c r="AK130" s="392">
        <v>4940</v>
      </c>
      <c r="AL130" s="392">
        <v>4440</v>
      </c>
      <c r="AM130" s="392">
        <v>5403</v>
      </c>
      <c r="AN130" s="392">
        <v>6956</v>
      </c>
      <c r="AO130" s="392">
        <v>8300</v>
      </c>
      <c r="AP130" s="393">
        <v>9030</v>
      </c>
      <c r="AQ130" s="391">
        <f t="shared" si="82"/>
        <v>0</v>
      </c>
      <c r="AR130" s="392">
        <f t="shared" si="83"/>
        <v>0</v>
      </c>
      <c r="AS130" s="392">
        <f t="shared" si="84"/>
        <v>0</v>
      </c>
      <c r="AT130" s="392">
        <f t="shared" si="85"/>
        <v>0</v>
      </c>
      <c r="AU130" s="392">
        <f t="shared" si="86"/>
        <v>0</v>
      </c>
      <c r="AV130" s="392">
        <f t="shared" si="87"/>
        <v>4440</v>
      </c>
      <c r="AW130" s="392">
        <f t="shared" si="88"/>
        <v>0</v>
      </c>
      <c r="AX130" s="392">
        <f t="shared" si="89"/>
        <v>0</v>
      </c>
      <c r="AY130" s="392">
        <f t="shared" si="90"/>
        <v>0</v>
      </c>
      <c r="AZ130" s="393">
        <f t="shared" si="91"/>
        <v>0</v>
      </c>
      <c r="BA130" s="302"/>
      <c r="BB130" s="302"/>
      <c r="BC130" s="302"/>
      <c r="BD130" s="302"/>
      <c r="BE130" s="302"/>
      <c r="BF130" s="302"/>
      <c r="BG130" s="302"/>
      <c r="BH130" s="302"/>
      <c r="BI130" s="302"/>
      <c r="BJ130" s="302"/>
      <c r="BK130" s="302"/>
      <c r="BL130" s="302"/>
      <c r="BM130" s="302"/>
      <c r="BN130" s="302"/>
      <c r="BO130" s="302"/>
      <c r="BP130" s="302"/>
      <c r="BQ130" s="302"/>
      <c r="BR130" s="302"/>
      <c r="BS130" s="302"/>
      <c r="BT130" s="302"/>
      <c r="BU130" s="302"/>
    </row>
    <row r="131" spans="1:73">
      <c r="A131" s="325"/>
      <c r="B131" s="394"/>
      <c r="C131" s="570" t="s">
        <v>572</v>
      </c>
      <c r="D131" s="572">
        <v>11</v>
      </c>
      <c r="E131" s="572">
        <v>8.5069999999999997</v>
      </c>
      <c r="F131" s="395">
        <f t="shared" si="77"/>
        <v>2.5</v>
      </c>
      <c r="G131" s="382">
        <v>1800</v>
      </c>
      <c r="H131" s="396">
        <f t="shared" si="92"/>
        <v>3385</v>
      </c>
      <c r="I131" s="396">
        <v>1691</v>
      </c>
      <c r="J131" s="397"/>
      <c r="K131" s="570">
        <v>900</v>
      </c>
      <c r="L131" s="399">
        <f t="shared" si="78"/>
        <v>6.3585000000000003</v>
      </c>
      <c r="M131" s="395">
        <f t="shared" si="79"/>
        <v>6.3642857142857148</v>
      </c>
      <c r="N131" s="400">
        <f t="shared" si="80"/>
        <v>2.2628571428571429</v>
      </c>
      <c r="O131" s="365"/>
      <c r="P131" s="401">
        <f t="shared" si="81"/>
        <v>0</v>
      </c>
      <c r="Q131" s="302"/>
      <c r="R131" s="302"/>
      <c r="S131" s="302"/>
      <c r="T131" s="302"/>
      <c r="U131" s="302"/>
      <c r="V131" s="302"/>
      <c r="W131" s="302"/>
      <c r="X131" s="302"/>
      <c r="Y131" s="302"/>
      <c r="Z131" s="302"/>
      <c r="AA131" s="302"/>
      <c r="AB131" s="302"/>
      <c r="AC131" s="302"/>
      <c r="AD131" s="302"/>
      <c r="AE131" s="302"/>
      <c r="AF131" s="302"/>
      <c r="AG131" s="391">
        <v>0</v>
      </c>
      <c r="AH131" s="392">
        <v>0</v>
      </c>
      <c r="AI131" s="392">
        <v>2060</v>
      </c>
      <c r="AJ131" s="392">
        <v>2390</v>
      </c>
      <c r="AK131" s="392">
        <v>2890</v>
      </c>
      <c r="AL131" s="392">
        <v>3385</v>
      </c>
      <c r="AM131" s="392">
        <v>4120</v>
      </c>
      <c r="AN131" s="392">
        <v>6101</v>
      </c>
      <c r="AO131" s="392">
        <v>6820</v>
      </c>
      <c r="AP131" s="393">
        <v>9160</v>
      </c>
      <c r="AQ131" s="391">
        <f t="shared" si="82"/>
        <v>0</v>
      </c>
      <c r="AR131" s="392">
        <f t="shared" si="83"/>
        <v>0</v>
      </c>
      <c r="AS131" s="392">
        <f t="shared" si="84"/>
        <v>0</v>
      </c>
      <c r="AT131" s="392">
        <f t="shared" si="85"/>
        <v>0</v>
      </c>
      <c r="AU131" s="392">
        <f t="shared" si="86"/>
        <v>0</v>
      </c>
      <c r="AV131" s="392">
        <f t="shared" si="87"/>
        <v>3385</v>
      </c>
      <c r="AW131" s="392">
        <f t="shared" si="88"/>
        <v>0</v>
      </c>
      <c r="AX131" s="392">
        <f t="shared" si="89"/>
        <v>0</v>
      </c>
      <c r="AY131" s="392">
        <f t="shared" si="90"/>
        <v>0</v>
      </c>
      <c r="AZ131" s="393">
        <f t="shared" si="91"/>
        <v>0</v>
      </c>
      <c r="BA131" s="302"/>
      <c r="BB131" s="302"/>
      <c r="BC131" s="302"/>
      <c r="BD131" s="302"/>
      <c r="BE131" s="302"/>
      <c r="BF131" s="302"/>
      <c r="BG131" s="302"/>
      <c r="BH131" s="302"/>
      <c r="BI131" s="302"/>
      <c r="BJ131" s="302"/>
      <c r="BK131" s="302"/>
      <c r="BL131" s="302"/>
      <c r="BM131" s="302"/>
      <c r="BN131" s="302"/>
      <c r="BO131" s="302"/>
      <c r="BP131" s="302"/>
      <c r="BQ131" s="302"/>
      <c r="BR131" s="302"/>
      <c r="BS131" s="302"/>
      <c r="BT131" s="302"/>
      <c r="BU131" s="302"/>
    </row>
    <row r="132" spans="1:73">
      <c r="A132" s="325"/>
      <c r="B132" s="394"/>
      <c r="C132" s="570" t="s">
        <v>571</v>
      </c>
      <c r="D132" s="572">
        <v>11</v>
      </c>
      <c r="E132" s="572">
        <v>8.4629999999999992</v>
      </c>
      <c r="F132" s="395">
        <f t="shared" si="77"/>
        <v>2.75</v>
      </c>
      <c r="G132" s="382">
        <v>1800</v>
      </c>
      <c r="H132" s="396">
        <f t="shared" si="92"/>
        <v>1692</v>
      </c>
      <c r="I132" s="396">
        <v>1692</v>
      </c>
      <c r="J132" s="397"/>
      <c r="K132" s="570">
        <v>900</v>
      </c>
      <c r="L132" s="399">
        <f t="shared" si="78"/>
        <v>6.9943500000000007</v>
      </c>
      <c r="M132" s="395">
        <f t="shared" si="79"/>
        <v>7.0007142857142863</v>
      </c>
      <c r="N132" s="400">
        <f t="shared" si="80"/>
        <v>2.2628571428571429</v>
      </c>
      <c r="O132" s="365"/>
      <c r="P132" s="401">
        <f t="shared" si="81"/>
        <v>0</v>
      </c>
      <c r="Q132" s="302"/>
      <c r="R132" s="302"/>
      <c r="S132" s="302"/>
      <c r="T132" s="302"/>
      <c r="U132" s="302"/>
      <c r="V132" s="302"/>
      <c r="W132" s="302"/>
      <c r="X132" s="302"/>
      <c r="Y132" s="302"/>
      <c r="Z132" s="302"/>
      <c r="AA132" s="302"/>
      <c r="AB132" s="302"/>
      <c r="AC132" s="302"/>
      <c r="AD132" s="302"/>
      <c r="AE132" s="302"/>
      <c r="AF132" s="302"/>
      <c r="AG132" s="391">
        <v>0</v>
      </c>
      <c r="AH132" s="392">
        <v>0</v>
      </c>
      <c r="AI132" s="392">
        <v>0</v>
      </c>
      <c r="AJ132" s="392">
        <v>0</v>
      </c>
      <c r="AK132" s="392">
        <v>0</v>
      </c>
      <c r="AL132" s="392">
        <v>0</v>
      </c>
      <c r="AM132" s="392">
        <v>0</v>
      </c>
      <c r="AN132" s="392">
        <v>0</v>
      </c>
      <c r="AO132" s="392">
        <v>0</v>
      </c>
      <c r="AP132" s="393">
        <v>0</v>
      </c>
      <c r="AQ132" s="391">
        <f t="shared" si="82"/>
        <v>0</v>
      </c>
      <c r="AR132" s="392">
        <f t="shared" si="83"/>
        <v>0</v>
      </c>
      <c r="AS132" s="392">
        <f t="shared" si="84"/>
        <v>0</v>
      </c>
      <c r="AT132" s="392">
        <f t="shared" si="85"/>
        <v>0</v>
      </c>
      <c r="AU132" s="392">
        <f t="shared" si="86"/>
        <v>0</v>
      </c>
      <c r="AV132" s="392">
        <f t="shared" si="87"/>
        <v>0</v>
      </c>
      <c r="AW132" s="392">
        <f t="shared" si="88"/>
        <v>0</v>
      </c>
      <c r="AX132" s="392">
        <f t="shared" si="89"/>
        <v>0</v>
      </c>
      <c r="AY132" s="392">
        <f t="shared" si="90"/>
        <v>0</v>
      </c>
      <c r="AZ132" s="393">
        <f t="shared" si="91"/>
        <v>0</v>
      </c>
      <c r="BA132" s="302"/>
      <c r="BB132" s="302"/>
      <c r="BC132" s="302"/>
      <c r="BD132" s="302"/>
      <c r="BE132" s="302"/>
      <c r="BF132" s="302"/>
      <c r="BG132" s="302"/>
      <c r="BH132" s="302"/>
      <c r="BI132" s="302"/>
      <c r="BJ132" s="302"/>
      <c r="BK132" s="302"/>
      <c r="BL132" s="302"/>
      <c r="BM132" s="302"/>
      <c r="BN132" s="302"/>
      <c r="BO132" s="302"/>
      <c r="BP132" s="302"/>
      <c r="BQ132" s="302"/>
      <c r="BR132" s="302"/>
      <c r="BS132" s="302"/>
      <c r="BT132" s="302"/>
      <c r="BU132" s="302"/>
    </row>
    <row r="133" spans="1:73">
      <c r="A133" s="325"/>
      <c r="B133" s="394"/>
      <c r="C133" s="570"/>
      <c r="D133" s="572"/>
      <c r="E133" s="572"/>
      <c r="F133" s="395">
        <f t="shared" si="77"/>
        <v>0</v>
      </c>
      <c r="G133" s="382"/>
      <c r="H133" s="396">
        <f t="shared" si="92"/>
        <v>1693</v>
      </c>
      <c r="I133" s="396">
        <v>1693</v>
      </c>
      <c r="J133" s="397"/>
      <c r="K133" s="570"/>
      <c r="L133" s="399">
        <f t="shared" si="78"/>
        <v>0</v>
      </c>
      <c r="M133" s="395">
        <f t="shared" si="79"/>
        <v>0</v>
      </c>
      <c r="N133" s="400">
        <f t="shared" si="80"/>
        <v>0</v>
      </c>
      <c r="O133" s="365"/>
      <c r="P133" s="401">
        <f t="shared" si="81"/>
        <v>0</v>
      </c>
      <c r="Q133" s="302"/>
      <c r="R133" s="302"/>
      <c r="S133" s="302"/>
      <c r="T133" s="302"/>
      <c r="U133" s="302"/>
      <c r="V133" s="302"/>
      <c r="W133" s="302"/>
      <c r="X133" s="302"/>
      <c r="Y133" s="302"/>
      <c r="Z133" s="302"/>
      <c r="AA133" s="302"/>
      <c r="AB133" s="302"/>
      <c r="AC133" s="302"/>
      <c r="AD133" s="302"/>
      <c r="AE133" s="302"/>
      <c r="AF133" s="302"/>
      <c r="AG133" s="391">
        <v>0</v>
      </c>
      <c r="AH133" s="392">
        <v>0</v>
      </c>
      <c r="AI133" s="392">
        <v>0</v>
      </c>
      <c r="AJ133" s="392">
        <v>0</v>
      </c>
      <c r="AK133" s="392">
        <v>7225</v>
      </c>
      <c r="AL133" s="392">
        <v>8640</v>
      </c>
      <c r="AM133" s="392">
        <v>10666</v>
      </c>
      <c r="AN133" s="392">
        <v>13147.804648978634</v>
      </c>
      <c r="AO133" s="392">
        <v>14615</v>
      </c>
      <c r="AP133" s="393">
        <v>0</v>
      </c>
      <c r="AQ133" s="391">
        <f t="shared" si="82"/>
        <v>0</v>
      </c>
      <c r="AR133" s="392">
        <f t="shared" si="83"/>
        <v>0</v>
      </c>
      <c r="AS133" s="392">
        <f t="shared" si="84"/>
        <v>0</v>
      </c>
      <c r="AT133" s="392">
        <f t="shared" si="85"/>
        <v>0</v>
      </c>
      <c r="AU133" s="392">
        <f t="shared" si="86"/>
        <v>0</v>
      </c>
      <c r="AV133" s="392">
        <f t="shared" si="87"/>
        <v>0</v>
      </c>
      <c r="AW133" s="392">
        <f t="shared" si="88"/>
        <v>0</v>
      </c>
      <c r="AX133" s="392">
        <f t="shared" si="89"/>
        <v>0</v>
      </c>
      <c r="AY133" s="392">
        <f t="shared" si="90"/>
        <v>0</v>
      </c>
      <c r="AZ133" s="393">
        <f t="shared" si="91"/>
        <v>0</v>
      </c>
      <c r="BA133" s="302"/>
      <c r="BB133" s="302"/>
      <c r="BC133" s="302"/>
      <c r="BD133" s="302"/>
      <c r="BE133" s="302"/>
      <c r="BF133" s="302"/>
      <c r="BG133" s="302"/>
      <c r="BH133" s="302"/>
      <c r="BI133" s="302"/>
      <c r="BJ133" s="302"/>
      <c r="BK133" s="302"/>
      <c r="BL133" s="302"/>
      <c r="BM133" s="302"/>
      <c r="BN133" s="302"/>
      <c r="BO133" s="302"/>
      <c r="BP133" s="302"/>
      <c r="BQ133" s="302"/>
      <c r="BR133" s="302"/>
      <c r="BS133" s="302"/>
      <c r="BT133" s="302"/>
      <c r="BU133" s="302"/>
    </row>
    <row r="134" spans="1:73">
      <c r="A134" s="325"/>
      <c r="B134" s="394"/>
      <c r="C134" s="570" t="s">
        <v>570</v>
      </c>
      <c r="D134" s="572">
        <v>11.3</v>
      </c>
      <c r="E134" s="572">
        <v>9.4</v>
      </c>
      <c r="F134" s="395">
        <f t="shared" si="77"/>
        <v>2</v>
      </c>
      <c r="G134" s="382">
        <v>1200</v>
      </c>
      <c r="H134" s="396">
        <f t="shared" si="92"/>
        <v>1694</v>
      </c>
      <c r="I134" s="396">
        <v>1694</v>
      </c>
      <c r="J134" s="397"/>
      <c r="K134" s="570">
        <v>300</v>
      </c>
      <c r="L134" s="399">
        <f t="shared" si="78"/>
        <v>2.2608000000000001</v>
      </c>
      <c r="M134" s="395">
        <f t="shared" si="79"/>
        <v>2.2628571428571429</v>
      </c>
      <c r="N134" s="400">
        <f t="shared" si="80"/>
        <v>2.2628571428571429</v>
      </c>
      <c r="O134" s="365"/>
      <c r="P134" s="401">
        <f t="shared" si="81"/>
        <v>0</v>
      </c>
      <c r="Q134" s="302"/>
      <c r="R134" s="302"/>
      <c r="S134" s="302"/>
      <c r="T134" s="302"/>
      <c r="U134" s="302"/>
      <c r="V134" s="302"/>
      <c r="W134" s="302"/>
      <c r="X134" s="302"/>
      <c r="Y134" s="302"/>
      <c r="Z134" s="302"/>
      <c r="AA134" s="302"/>
      <c r="AB134" s="302"/>
      <c r="AC134" s="302"/>
      <c r="AD134" s="302"/>
      <c r="AE134" s="302"/>
      <c r="AF134" s="302"/>
      <c r="AG134" s="391">
        <v>0</v>
      </c>
      <c r="AH134" s="392">
        <v>0</v>
      </c>
      <c r="AI134" s="392">
        <v>0</v>
      </c>
      <c r="AJ134" s="392">
        <v>0</v>
      </c>
      <c r="AK134" s="392">
        <v>7075</v>
      </c>
      <c r="AL134" s="392">
        <v>8350</v>
      </c>
      <c r="AM134" s="392">
        <v>10308</v>
      </c>
      <c r="AN134" s="392">
        <v>12706.503874148862</v>
      </c>
      <c r="AO134" s="392">
        <v>13965</v>
      </c>
      <c r="AP134" s="393">
        <v>0</v>
      </c>
      <c r="AQ134" s="391">
        <f t="shared" si="82"/>
        <v>0</v>
      </c>
      <c r="AR134" s="392">
        <f t="shared" si="83"/>
        <v>0</v>
      </c>
      <c r="AS134" s="392">
        <f t="shared" si="84"/>
        <v>0</v>
      </c>
      <c r="AT134" s="392">
        <f t="shared" si="85"/>
        <v>0</v>
      </c>
      <c r="AU134" s="392">
        <f t="shared" si="86"/>
        <v>0</v>
      </c>
      <c r="AV134" s="392">
        <f t="shared" si="87"/>
        <v>0</v>
      </c>
      <c r="AW134" s="392">
        <f t="shared" si="88"/>
        <v>0</v>
      </c>
      <c r="AX134" s="392">
        <f t="shared" si="89"/>
        <v>0</v>
      </c>
      <c r="AY134" s="392">
        <f t="shared" si="90"/>
        <v>0</v>
      </c>
      <c r="AZ134" s="393">
        <f t="shared" si="91"/>
        <v>0</v>
      </c>
      <c r="BA134" s="302"/>
      <c r="BB134" s="302"/>
      <c r="BC134" s="302"/>
      <c r="BD134" s="302"/>
      <c r="BE134" s="302"/>
      <c r="BF134" s="302"/>
      <c r="BG134" s="302"/>
      <c r="BH134" s="302"/>
      <c r="BI134" s="302"/>
      <c r="BJ134" s="302"/>
      <c r="BK134" s="302"/>
      <c r="BL134" s="302"/>
      <c r="BM134" s="302"/>
      <c r="BN134" s="302"/>
      <c r="BO134" s="302"/>
      <c r="BP134" s="302"/>
      <c r="BQ134" s="302"/>
      <c r="BR134" s="302"/>
      <c r="BS134" s="302"/>
      <c r="BT134" s="302"/>
      <c r="BU134" s="302"/>
    </row>
    <row r="135" spans="1:73">
      <c r="A135" s="325"/>
      <c r="B135" s="394"/>
      <c r="C135" s="570" t="s">
        <v>569</v>
      </c>
      <c r="D135" s="572">
        <v>11</v>
      </c>
      <c r="E135" s="572">
        <v>9.2029999999999994</v>
      </c>
      <c r="F135" s="395">
        <f t="shared" si="77"/>
        <v>2</v>
      </c>
      <c r="G135" s="382">
        <v>1200</v>
      </c>
      <c r="H135" s="396">
        <f t="shared" si="92"/>
        <v>5720</v>
      </c>
      <c r="I135" s="396">
        <v>1695</v>
      </c>
      <c r="J135" s="397"/>
      <c r="K135" s="570">
        <v>300</v>
      </c>
      <c r="L135" s="399">
        <f t="shared" si="78"/>
        <v>2.2608000000000001</v>
      </c>
      <c r="M135" s="395">
        <f t="shared" si="79"/>
        <v>2.2628571428571429</v>
      </c>
      <c r="N135" s="400">
        <f t="shared" si="80"/>
        <v>2.2628571428571429</v>
      </c>
      <c r="O135" s="365"/>
      <c r="P135" s="401">
        <f t="shared" si="81"/>
        <v>0</v>
      </c>
      <c r="Q135" s="302"/>
      <c r="R135" s="302"/>
      <c r="S135" s="302"/>
      <c r="T135" s="302"/>
      <c r="U135" s="302"/>
      <c r="V135" s="302"/>
      <c r="W135" s="302"/>
      <c r="X135" s="302"/>
      <c r="Y135" s="302"/>
      <c r="Z135" s="302"/>
      <c r="AA135" s="302"/>
      <c r="AB135" s="302"/>
      <c r="AC135" s="302"/>
      <c r="AD135" s="302"/>
      <c r="AE135" s="302"/>
      <c r="AF135" s="302"/>
      <c r="AG135" s="391">
        <v>0</v>
      </c>
      <c r="AH135" s="392">
        <v>0</v>
      </c>
      <c r="AI135" s="392">
        <v>5720</v>
      </c>
      <c r="AJ135" s="392">
        <v>7148</v>
      </c>
      <c r="AK135" s="392">
        <v>6725</v>
      </c>
      <c r="AL135" s="392">
        <v>7770</v>
      </c>
      <c r="AM135" s="392">
        <v>9592</v>
      </c>
      <c r="AN135" s="392">
        <v>11823.902324489318</v>
      </c>
      <c r="AO135" s="392">
        <v>12665</v>
      </c>
      <c r="AP135" s="393">
        <v>13665</v>
      </c>
      <c r="AQ135" s="391">
        <f t="shared" si="82"/>
        <v>0</v>
      </c>
      <c r="AR135" s="392">
        <f t="shared" si="83"/>
        <v>0</v>
      </c>
      <c r="AS135" s="392">
        <f t="shared" si="84"/>
        <v>5720</v>
      </c>
      <c r="AT135" s="392">
        <f t="shared" si="85"/>
        <v>0</v>
      </c>
      <c r="AU135" s="392">
        <f t="shared" si="86"/>
        <v>0</v>
      </c>
      <c r="AV135" s="392">
        <f t="shared" si="87"/>
        <v>0</v>
      </c>
      <c r="AW135" s="392">
        <f t="shared" si="88"/>
        <v>0</v>
      </c>
      <c r="AX135" s="392">
        <f t="shared" si="89"/>
        <v>0</v>
      </c>
      <c r="AY135" s="392">
        <f t="shared" si="90"/>
        <v>0</v>
      </c>
      <c r="AZ135" s="393">
        <f t="shared" si="91"/>
        <v>0</v>
      </c>
      <c r="BA135" s="302"/>
      <c r="BB135" s="302"/>
      <c r="BC135" s="302"/>
      <c r="BD135" s="302"/>
      <c r="BE135" s="302"/>
      <c r="BF135" s="302"/>
      <c r="BG135" s="302"/>
      <c r="BH135" s="302"/>
      <c r="BI135" s="302"/>
      <c r="BJ135" s="302"/>
      <c r="BK135" s="302"/>
      <c r="BL135" s="302"/>
      <c r="BM135" s="302"/>
      <c r="BN135" s="302"/>
      <c r="BO135" s="302"/>
      <c r="BP135" s="302"/>
      <c r="BQ135" s="302"/>
      <c r="BR135" s="302"/>
      <c r="BS135" s="302"/>
      <c r="BT135" s="302"/>
      <c r="BU135" s="302"/>
    </row>
    <row r="136" spans="1:73">
      <c r="A136" s="325"/>
      <c r="B136" s="394"/>
      <c r="C136" s="570"/>
      <c r="D136" s="572"/>
      <c r="E136" s="572"/>
      <c r="F136" s="395">
        <f t="shared" si="77"/>
        <v>0</v>
      </c>
      <c r="G136" s="382"/>
      <c r="H136" s="396">
        <f t="shared" si="92"/>
        <v>1696</v>
      </c>
      <c r="I136" s="396">
        <v>1696</v>
      </c>
      <c r="J136" s="397"/>
      <c r="K136" s="570"/>
      <c r="L136" s="399">
        <f t="shared" si="78"/>
        <v>0</v>
      </c>
      <c r="M136" s="395">
        <f t="shared" si="79"/>
        <v>0</v>
      </c>
      <c r="N136" s="400">
        <f t="shared" si="80"/>
        <v>0</v>
      </c>
      <c r="O136" s="365"/>
      <c r="P136" s="401">
        <f t="shared" si="81"/>
        <v>0</v>
      </c>
      <c r="Q136" s="302"/>
      <c r="R136" s="302"/>
      <c r="S136" s="302"/>
      <c r="T136" s="302"/>
      <c r="U136" s="302"/>
      <c r="V136" s="302"/>
      <c r="W136" s="302"/>
      <c r="X136" s="302"/>
      <c r="Y136" s="302"/>
      <c r="Z136" s="302"/>
      <c r="AA136" s="302"/>
      <c r="AB136" s="302"/>
      <c r="AC136" s="302"/>
      <c r="AD136" s="302"/>
      <c r="AE136" s="302"/>
      <c r="AF136" s="302"/>
      <c r="AG136" s="391">
        <v>0</v>
      </c>
      <c r="AH136" s="392">
        <v>0</v>
      </c>
      <c r="AI136" s="392">
        <v>4845</v>
      </c>
      <c r="AJ136" s="392">
        <v>5390</v>
      </c>
      <c r="AK136" s="392">
        <v>5925</v>
      </c>
      <c r="AL136" s="392">
        <v>6610</v>
      </c>
      <c r="AM136" s="392">
        <v>8160</v>
      </c>
      <c r="AN136" s="392">
        <v>9723</v>
      </c>
      <c r="AO136" s="392">
        <v>10065</v>
      </c>
      <c r="AP136" s="393">
        <v>11065</v>
      </c>
      <c r="AQ136" s="391">
        <f t="shared" si="82"/>
        <v>0</v>
      </c>
      <c r="AR136" s="392">
        <f t="shared" si="83"/>
        <v>0</v>
      </c>
      <c r="AS136" s="392">
        <f t="shared" si="84"/>
        <v>0</v>
      </c>
      <c r="AT136" s="392">
        <f t="shared" si="85"/>
        <v>0</v>
      </c>
      <c r="AU136" s="392">
        <f t="shared" si="86"/>
        <v>0</v>
      </c>
      <c r="AV136" s="392">
        <f t="shared" si="87"/>
        <v>0</v>
      </c>
      <c r="AW136" s="392">
        <f t="shared" si="88"/>
        <v>0</v>
      </c>
      <c r="AX136" s="392">
        <f t="shared" si="89"/>
        <v>0</v>
      </c>
      <c r="AY136" s="392">
        <f t="shared" si="90"/>
        <v>0</v>
      </c>
      <c r="AZ136" s="393">
        <f t="shared" si="91"/>
        <v>0</v>
      </c>
      <c r="BA136" s="302"/>
      <c r="BB136" s="302"/>
      <c r="BC136" s="302"/>
      <c r="BD136" s="302"/>
      <c r="BE136" s="302"/>
      <c r="BF136" s="302"/>
      <c r="BG136" s="302"/>
      <c r="BH136" s="302"/>
      <c r="BI136" s="302"/>
      <c r="BJ136" s="302"/>
      <c r="BK136" s="302"/>
      <c r="BL136" s="302"/>
      <c r="BM136" s="302"/>
      <c r="BN136" s="302"/>
      <c r="BO136" s="302"/>
      <c r="BP136" s="302"/>
      <c r="BQ136" s="302"/>
      <c r="BR136" s="302"/>
      <c r="BS136" s="302"/>
      <c r="BT136" s="302"/>
      <c r="BU136" s="302"/>
    </row>
    <row r="137" spans="1:73">
      <c r="A137" s="325"/>
      <c r="B137" s="394">
        <v>1</v>
      </c>
      <c r="C137" s="570" t="s">
        <v>568</v>
      </c>
      <c r="D137" s="572">
        <v>10.8</v>
      </c>
      <c r="E137" s="572">
        <v>8.4149999999999991</v>
      </c>
      <c r="F137" s="395">
        <f t="shared" si="77"/>
        <v>2.5</v>
      </c>
      <c r="G137" s="382">
        <v>1800</v>
      </c>
      <c r="H137" s="396">
        <f t="shared" si="92"/>
        <v>4335</v>
      </c>
      <c r="I137" s="396">
        <v>1697</v>
      </c>
      <c r="J137" s="397"/>
      <c r="K137" s="570">
        <v>900</v>
      </c>
      <c r="L137" s="399">
        <f t="shared" si="78"/>
        <v>6.3585000000000003</v>
      </c>
      <c r="M137" s="395">
        <f t="shared" si="79"/>
        <v>6.3642857142857148</v>
      </c>
      <c r="N137" s="400">
        <f t="shared" si="80"/>
        <v>2.2628571428571429</v>
      </c>
      <c r="O137" s="365"/>
      <c r="P137" s="401">
        <f t="shared" si="81"/>
        <v>0</v>
      </c>
      <c r="Q137" s="302"/>
      <c r="R137" s="302"/>
      <c r="S137" s="302"/>
      <c r="T137" s="302"/>
      <c r="U137" s="302"/>
      <c r="V137" s="302"/>
      <c r="W137" s="302"/>
      <c r="X137" s="302"/>
      <c r="Y137" s="302"/>
      <c r="Z137" s="302"/>
      <c r="AA137" s="302"/>
      <c r="AB137" s="302"/>
      <c r="AC137" s="302"/>
      <c r="AD137" s="302"/>
      <c r="AE137" s="302"/>
      <c r="AF137" s="302"/>
      <c r="AG137" s="391">
        <v>0</v>
      </c>
      <c r="AH137" s="392">
        <v>0</v>
      </c>
      <c r="AI137" s="392">
        <v>2485</v>
      </c>
      <c r="AJ137" s="392">
        <v>2690</v>
      </c>
      <c r="AK137" s="392">
        <v>3505</v>
      </c>
      <c r="AL137" s="392">
        <v>4335</v>
      </c>
      <c r="AM137" s="392">
        <v>5276</v>
      </c>
      <c r="AN137" s="392">
        <v>6700</v>
      </c>
      <c r="AO137" s="392">
        <v>8015</v>
      </c>
      <c r="AP137" s="393">
        <v>8745</v>
      </c>
      <c r="AQ137" s="391">
        <f t="shared" si="82"/>
        <v>0</v>
      </c>
      <c r="AR137" s="392">
        <f t="shared" si="83"/>
        <v>0</v>
      </c>
      <c r="AS137" s="392">
        <f t="shared" si="84"/>
        <v>0</v>
      </c>
      <c r="AT137" s="392">
        <f t="shared" si="85"/>
        <v>0</v>
      </c>
      <c r="AU137" s="392">
        <f t="shared" si="86"/>
        <v>0</v>
      </c>
      <c r="AV137" s="392">
        <f t="shared" si="87"/>
        <v>4335</v>
      </c>
      <c r="AW137" s="392">
        <f t="shared" si="88"/>
        <v>0</v>
      </c>
      <c r="AX137" s="392">
        <f t="shared" si="89"/>
        <v>0</v>
      </c>
      <c r="AY137" s="392">
        <f t="shared" si="90"/>
        <v>0</v>
      </c>
      <c r="AZ137" s="393">
        <f t="shared" si="91"/>
        <v>0</v>
      </c>
      <c r="BA137" s="302"/>
      <c r="BB137" s="302"/>
      <c r="BC137" s="302"/>
      <c r="BD137" s="302"/>
      <c r="BE137" s="302"/>
      <c r="BF137" s="302"/>
      <c r="BG137" s="302"/>
      <c r="BH137" s="302"/>
      <c r="BI137" s="302"/>
      <c r="BJ137" s="302"/>
      <c r="BK137" s="302"/>
      <c r="BL137" s="302"/>
      <c r="BM137" s="302"/>
      <c r="BN137" s="302"/>
      <c r="BO137" s="302"/>
      <c r="BP137" s="302"/>
      <c r="BQ137" s="302"/>
      <c r="BR137" s="302"/>
      <c r="BS137" s="302"/>
      <c r="BT137" s="302"/>
      <c r="BU137" s="302"/>
    </row>
    <row r="138" spans="1:73">
      <c r="A138" s="325"/>
      <c r="B138" s="394"/>
      <c r="C138" s="570" t="s">
        <v>567</v>
      </c>
      <c r="D138" s="572">
        <v>10.95</v>
      </c>
      <c r="E138" s="572">
        <v>8.31</v>
      </c>
      <c r="F138" s="395">
        <f t="shared" si="77"/>
        <v>2.75</v>
      </c>
      <c r="G138" s="382">
        <v>1800</v>
      </c>
      <c r="H138" s="396">
        <f t="shared" si="92"/>
        <v>9220</v>
      </c>
      <c r="I138" s="396">
        <v>1698</v>
      </c>
      <c r="J138" s="397"/>
      <c r="K138" s="570">
        <v>900</v>
      </c>
      <c r="L138" s="399">
        <f t="shared" si="78"/>
        <v>6.9943500000000007</v>
      </c>
      <c r="M138" s="395">
        <f t="shared" si="79"/>
        <v>7.0007142857142863</v>
      </c>
      <c r="N138" s="400">
        <f t="shared" si="80"/>
        <v>2.2628571428571429</v>
      </c>
      <c r="O138" s="365"/>
      <c r="P138" s="401">
        <f t="shared" si="81"/>
        <v>0</v>
      </c>
      <c r="Q138" s="302"/>
      <c r="R138" s="302"/>
      <c r="S138" s="302"/>
      <c r="T138" s="302"/>
      <c r="U138" s="302"/>
      <c r="V138" s="302"/>
      <c r="W138" s="302"/>
      <c r="X138" s="302"/>
      <c r="Y138" s="302"/>
      <c r="Z138" s="302"/>
      <c r="AA138" s="302"/>
      <c r="AB138" s="302"/>
      <c r="AC138" s="302"/>
      <c r="AD138" s="302"/>
      <c r="AE138" s="302"/>
      <c r="AF138" s="302"/>
      <c r="AG138" s="391">
        <v>0</v>
      </c>
      <c r="AH138" s="392">
        <v>0</v>
      </c>
      <c r="AI138" s="392">
        <v>0</v>
      </c>
      <c r="AJ138" s="392">
        <v>0</v>
      </c>
      <c r="AK138" s="392">
        <v>7525</v>
      </c>
      <c r="AL138" s="392">
        <v>9220</v>
      </c>
      <c r="AM138" s="392">
        <v>11382</v>
      </c>
      <c r="AN138" s="392">
        <v>14030.406198638178</v>
      </c>
      <c r="AO138" s="392">
        <v>15915</v>
      </c>
      <c r="AP138" s="393">
        <v>0</v>
      </c>
      <c r="AQ138" s="391">
        <f t="shared" si="82"/>
        <v>0</v>
      </c>
      <c r="AR138" s="392">
        <f t="shared" si="83"/>
        <v>0</v>
      </c>
      <c r="AS138" s="392">
        <f t="shared" si="84"/>
        <v>0</v>
      </c>
      <c r="AT138" s="392">
        <f t="shared" si="85"/>
        <v>0</v>
      </c>
      <c r="AU138" s="392">
        <f t="shared" si="86"/>
        <v>0</v>
      </c>
      <c r="AV138" s="392">
        <f t="shared" si="87"/>
        <v>9220</v>
      </c>
      <c r="AW138" s="392">
        <f t="shared" si="88"/>
        <v>0</v>
      </c>
      <c r="AX138" s="392">
        <f t="shared" si="89"/>
        <v>0</v>
      </c>
      <c r="AY138" s="392">
        <f t="shared" si="90"/>
        <v>0</v>
      </c>
      <c r="AZ138" s="393">
        <f t="shared" si="91"/>
        <v>0</v>
      </c>
      <c r="BA138" s="302"/>
      <c r="BB138" s="302"/>
      <c r="BC138" s="302"/>
      <c r="BD138" s="302"/>
      <c r="BE138" s="302"/>
      <c r="BF138" s="302"/>
      <c r="BG138" s="302"/>
      <c r="BH138" s="302"/>
      <c r="BI138" s="302"/>
      <c r="BJ138" s="302"/>
      <c r="BK138" s="302"/>
      <c r="BL138" s="302"/>
      <c r="BM138" s="302"/>
      <c r="BN138" s="302"/>
      <c r="BO138" s="302"/>
      <c r="BP138" s="302"/>
      <c r="BQ138" s="302"/>
      <c r="BR138" s="302"/>
      <c r="BS138" s="302"/>
      <c r="BT138" s="302"/>
      <c r="BU138" s="302"/>
    </row>
    <row r="139" spans="1:73">
      <c r="A139" s="325"/>
      <c r="B139" s="394"/>
      <c r="C139" s="570"/>
      <c r="D139" s="572"/>
      <c r="E139" s="572"/>
      <c r="F139" s="395">
        <f t="shared" si="77"/>
        <v>0</v>
      </c>
      <c r="G139" s="382"/>
      <c r="H139" s="396">
        <f t="shared" si="92"/>
        <v>1699</v>
      </c>
      <c r="I139" s="396">
        <v>1699</v>
      </c>
      <c r="J139" s="397"/>
      <c r="K139" s="570"/>
      <c r="L139" s="399">
        <f t="shared" si="78"/>
        <v>0</v>
      </c>
      <c r="M139" s="395">
        <f t="shared" si="79"/>
        <v>0</v>
      </c>
      <c r="N139" s="400">
        <f t="shared" si="80"/>
        <v>0</v>
      </c>
      <c r="O139" s="365"/>
      <c r="P139" s="401">
        <f t="shared" si="81"/>
        <v>0</v>
      </c>
      <c r="Q139" s="302"/>
      <c r="R139" s="302"/>
      <c r="S139" s="302"/>
      <c r="T139" s="302"/>
      <c r="U139" s="302"/>
      <c r="V139" s="302"/>
      <c r="W139" s="302"/>
      <c r="X139" s="302"/>
      <c r="Y139" s="302"/>
      <c r="Z139" s="302"/>
      <c r="AA139" s="302"/>
      <c r="AB139" s="302"/>
      <c r="AC139" s="302"/>
      <c r="AD139" s="302"/>
      <c r="AE139" s="302"/>
      <c r="AF139" s="302"/>
      <c r="AG139" s="391">
        <v>0</v>
      </c>
      <c r="AH139" s="392">
        <v>0</v>
      </c>
      <c r="AI139" s="392">
        <v>0</v>
      </c>
      <c r="AJ139" s="392">
        <v>0</v>
      </c>
      <c r="AK139" s="392">
        <v>7075</v>
      </c>
      <c r="AL139" s="392">
        <v>8350</v>
      </c>
      <c r="AM139" s="392">
        <v>10308</v>
      </c>
      <c r="AN139" s="392">
        <v>12706.503874148862</v>
      </c>
      <c r="AO139" s="392">
        <v>13965</v>
      </c>
      <c r="AP139" s="393">
        <v>0</v>
      </c>
      <c r="AQ139" s="391">
        <f t="shared" si="82"/>
        <v>0</v>
      </c>
      <c r="AR139" s="392">
        <f t="shared" si="83"/>
        <v>0</v>
      </c>
      <c r="AS139" s="392">
        <f t="shared" si="84"/>
        <v>0</v>
      </c>
      <c r="AT139" s="392">
        <f t="shared" si="85"/>
        <v>0</v>
      </c>
      <c r="AU139" s="392">
        <f t="shared" si="86"/>
        <v>0</v>
      </c>
      <c r="AV139" s="392">
        <f t="shared" si="87"/>
        <v>0</v>
      </c>
      <c r="AW139" s="392">
        <f t="shared" si="88"/>
        <v>0</v>
      </c>
      <c r="AX139" s="392">
        <f t="shared" si="89"/>
        <v>0</v>
      </c>
      <c r="AY139" s="392">
        <f t="shared" si="90"/>
        <v>0</v>
      </c>
      <c r="AZ139" s="393">
        <f t="shared" si="91"/>
        <v>0</v>
      </c>
      <c r="BA139" s="302"/>
      <c r="BB139" s="302"/>
      <c r="BC139" s="302"/>
      <c r="BD139" s="302"/>
      <c r="BE139" s="302"/>
      <c r="BF139" s="302"/>
      <c r="BG139" s="302"/>
      <c r="BH139" s="302"/>
      <c r="BI139" s="302"/>
      <c r="BJ139" s="302"/>
      <c r="BK139" s="302"/>
      <c r="BL139" s="302"/>
      <c r="BM139" s="302"/>
      <c r="BN139" s="302"/>
      <c r="BO139" s="302"/>
      <c r="BP139" s="302"/>
      <c r="BQ139" s="302"/>
      <c r="BR139" s="302"/>
      <c r="BS139" s="302"/>
      <c r="BT139" s="302"/>
      <c r="BU139" s="302"/>
    </row>
    <row r="140" spans="1:73">
      <c r="A140" s="325"/>
      <c r="B140" s="394"/>
      <c r="C140" s="570" t="s">
        <v>566</v>
      </c>
      <c r="D140" s="572">
        <v>10.9</v>
      </c>
      <c r="E140" s="572">
        <v>9.4019999999999992</v>
      </c>
      <c r="F140" s="395">
        <f t="shared" si="77"/>
        <v>1.5</v>
      </c>
      <c r="G140" s="382">
        <v>1200</v>
      </c>
      <c r="H140" s="396">
        <f t="shared" si="92"/>
        <v>2060</v>
      </c>
      <c r="I140" s="396">
        <v>1700</v>
      </c>
      <c r="J140" s="397"/>
      <c r="K140" s="570">
        <v>300</v>
      </c>
      <c r="L140" s="399">
        <f t="shared" si="78"/>
        <v>1.6956000000000002</v>
      </c>
      <c r="M140" s="395">
        <f t="shared" si="79"/>
        <v>1.6971428571428571</v>
      </c>
      <c r="N140" s="400">
        <f t="shared" si="80"/>
        <v>2.2628571428571429</v>
      </c>
      <c r="O140" s="365"/>
      <c r="P140" s="401">
        <f t="shared" si="81"/>
        <v>0</v>
      </c>
      <c r="Q140" s="302"/>
      <c r="R140" s="302"/>
      <c r="S140" s="302"/>
      <c r="T140" s="302"/>
      <c r="U140" s="302"/>
      <c r="V140" s="302"/>
      <c r="W140" s="302"/>
      <c r="X140" s="302"/>
      <c r="Y140" s="302"/>
      <c r="Z140" s="302"/>
      <c r="AA140" s="302"/>
      <c r="AB140" s="302"/>
      <c r="AC140" s="302"/>
      <c r="AD140" s="302"/>
      <c r="AE140" s="302"/>
      <c r="AF140" s="302"/>
      <c r="AG140" s="391">
        <v>0</v>
      </c>
      <c r="AH140" s="392">
        <v>0</v>
      </c>
      <c r="AI140" s="392">
        <v>2060</v>
      </c>
      <c r="AJ140" s="392">
        <v>2390</v>
      </c>
      <c r="AK140" s="392">
        <v>2890</v>
      </c>
      <c r="AL140" s="392">
        <v>3385</v>
      </c>
      <c r="AM140" s="392">
        <v>4120</v>
      </c>
      <c r="AN140" s="392">
        <v>6101</v>
      </c>
      <c r="AO140" s="392">
        <v>6820</v>
      </c>
      <c r="AP140" s="393">
        <v>9160</v>
      </c>
      <c r="AQ140" s="391">
        <f t="shared" si="82"/>
        <v>0</v>
      </c>
      <c r="AR140" s="392">
        <f t="shared" si="83"/>
        <v>0</v>
      </c>
      <c r="AS140" s="392">
        <f t="shared" si="84"/>
        <v>2060</v>
      </c>
      <c r="AT140" s="392">
        <f t="shared" si="85"/>
        <v>0</v>
      </c>
      <c r="AU140" s="392">
        <f t="shared" si="86"/>
        <v>0</v>
      </c>
      <c r="AV140" s="392">
        <f t="shared" si="87"/>
        <v>0</v>
      </c>
      <c r="AW140" s="392">
        <f t="shared" si="88"/>
        <v>0</v>
      </c>
      <c r="AX140" s="392">
        <f t="shared" si="89"/>
        <v>0</v>
      </c>
      <c r="AY140" s="392">
        <f t="shared" si="90"/>
        <v>0</v>
      </c>
      <c r="AZ140" s="393">
        <f t="shared" si="91"/>
        <v>0</v>
      </c>
      <c r="BA140" s="302"/>
      <c r="BB140" s="302"/>
      <c r="BC140" s="302"/>
      <c r="BD140" s="302"/>
      <c r="BE140" s="302"/>
      <c r="BF140" s="302"/>
      <c r="BG140" s="302"/>
      <c r="BH140" s="302"/>
      <c r="BI140" s="302"/>
      <c r="BJ140" s="302"/>
      <c r="BK140" s="302"/>
      <c r="BL140" s="302"/>
      <c r="BM140" s="302"/>
      <c r="BN140" s="302"/>
      <c r="BO140" s="302"/>
      <c r="BP140" s="302"/>
      <c r="BQ140" s="302"/>
      <c r="BR140" s="302"/>
      <c r="BS140" s="302"/>
      <c r="BT140" s="302"/>
      <c r="BU140" s="302"/>
    </row>
    <row r="141" spans="1:73">
      <c r="A141" s="325"/>
      <c r="B141" s="394"/>
      <c r="C141" s="570" t="s">
        <v>565</v>
      </c>
      <c r="D141" s="572">
        <v>10.85</v>
      </c>
      <c r="E141" s="572">
        <v>9.266</v>
      </c>
      <c r="F141" s="395">
        <f t="shared" si="77"/>
        <v>1.75</v>
      </c>
      <c r="G141" s="382">
        <v>1200</v>
      </c>
      <c r="H141" s="396">
        <f t="shared" si="92"/>
        <v>1701</v>
      </c>
      <c r="I141" s="396">
        <v>1701</v>
      </c>
      <c r="J141" s="397"/>
      <c r="K141" s="570">
        <v>300</v>
      </c>
      <c r="L141" s="399">
        <f t="shared" si="78"/>
        <v>1.9782000000000002</v>
      </c>
      <c r="M141" s="395">
        <f t="shared" si="79"/>
        <v>1.98</v>
      </c>
      <c r="N141" s="400">
        <f t="shared" si="80"/>
        <v>2.2628571428571429</v>
      </c>
      <c r="O141" s="365"/>
      <c r="P141" s="401">
        <f t="shared" si="81"/>
        <v>0</v>
      </c>
      <c r="Q141" s="302"/>
      <c r="R141" s="302"/>
      <c r="S141" s="302"/>
      <c r="T141" s="302"/>
      <c r="U141" s="302"/>
      <c r="V141" s="302"/>
      <c r="W141" s="302"/>
      <c r="X141" s="302"/>
      <c r="Y141" s="302"/>
      <c r="Z141" s="302"/>
      <c r="AA141" s="302"/>
      <c r="AB141" s="302"/>
      <c r="AC141" s="302"/>
      <c r="AD141" s="302"/>
      <c r="AE141" s="302"/>
      <c r="AF141" s="302"/>
      <c r="AG141" s="391">
        <v>0</v>
      </c>
      <c r="AH141" s="392">
        <v>0</v>
      </c>
      <c r="AI141" s="392">
        <v>0</v>
      </c>
      <c r="AJ141" s="392">
        <v>0</v>
      </c>
      <c r="AK141" s="392">
        <v>0</v>
      </c>
      <c r="AL141" s="392">
        <v>0</v>
      </c>
      <c r="AM141" s="392">
        <v>0</v>
      </c>
      <c r="AN141" s="392">
        <v>0</v>
      </c>
      <c r="AO141" s="392">
        <v>0</v>
      </c>
      <c r="AP141" s="393">
        <v>0</v>
      </c>
      <c r="AQ141" s="391">
        <f t="shared" si="82"/>
        <v>0</v>
      </c>
      <c r="AR141" s="392">
        <f t="shared" si="83"/>
        <v>0</v>
      </c>
      <c r="AS141" s="392">
        <f t="shared" si="84"/>
        <v>0</v>
      </c>
      <c r="AT141" s="392">
        <f t="shared" si="85"/>
        <v>0</v>
      </c>
      <c r="AU141" s="392">
        <f t="shared" si="86"/>
        <v>0</v>
      </c>
      <c r="AV141" s="392">
        <f t="shared" si="87"/>
        <v>0</v>
      </c>
      <c r="AW141" s="392">
        <f t="shared" si="88"/>
        <v>0</v>
      </c>
      <c r="AX141" s="392">
        <f t="shared" si="89"/>
        <v>0</v>
      </c>
      <c r="AY141" s="392">
        <f t="shared" si="90"/>
        <v>0</v>
      </c>
      <c r="AZ141" s="393">
        <f t="shared" si="91"/>
        <v>0</v>
      </c>
      <c r="BA141" s="302"/>
      <c r="BB141" s="302"/>
      <c r="BC141" s="302"/>
      <c r="BD141" s="302"/>
      <c r="BE141" s="302"/>
      <c r="BF141" s="302"/>
      <c r="BG141" s="302"/>
      <c r="BH141" s="302"/>
      <c r="BI141" s="302"/>
      <c r="BJ141" s="302"/>
      <c r="BK141" s="302"/>
      <c r="BL141" s="302"/>
      <c r="BM141" s="302"/>
      <c r="BN141" s="302"/>
      <c r="BO141" s="302"/>
      <c r="BP141" s="302"/>
      <c r="BQ141" s="302"/>
      <c r="BR141" s="302"/>
      <c r="BS141" s="302"/>
      <c r="BT141" s="302"/>
      <c r="BU141" s="302"/>
    </row>
    <row r="142" spans="1:73">
      <c r="A142" s="325"/>
      <c r="B142" s="394"/>
      <c r="C142" s="570"/>
      <c r="D142" s="572"/>
      <c r="E142" s="572"/>
      <c r="F142" s="395">
        <f t="shared" si="77"/>
        <v>0</v>
      </c>
      <c r="G142" s="382"/>
      <c r="H142" s="396">
        <f t="shared" si="92"/>
        <v>1702</v>
      </c>
      <c r="I142" s="396">
        <v>1702</v>
      </c>
      <c r="J142" s="397"/>
      <c r="K142" s="570"/>
      <c r="L142" s="399">
        <f t="shared" si="78"/>
        <v>0</v>
      </c>
      <c r="M142" s="395">
        <f t="shared" si="79"/>
        <v>0</v>
      </c>
      <c r="N142" s="400">
        <f t="shared" si="80"/>
        <v>0</v>
      </c>
      <c r="O142" s="365"/>
      <c r="P142" s="401">
        <f t="shared" si="81"/>
        <v>0</v>
      </c>
      <c r="Q142" s="302"/>
      <c r="R142" s="302"/>
      <c r="S142" s="302"/>
      <c r="T142" s="302"/>
      <c r="U142" s="302"/>
      <c r="V142" s="302"/>
      <c r="W142" s="302"/>
      <c r="X142" s="302"/>
      <c r="Y142" s="302"/>
      <c r="Z142" s="302"/>
      <c r="AA142" s="302"/>
      <c r="AB142" s="302"/>
      <c r="AC142" s="302"/>
      <c r="AD142" s="302"/>
      <c r="AE142" s="302"/>
      <c r="AF142" s="302"/>
      <c r="AG142" s="391">
        <v>0</v>
      </c>
      <c r="AH142" s="392">
        <v>0</v>
      </c>
      <c r="AI142" s="392">
        <v>0</v>
      </c>
      <c r="AJ142" s="392">
        <v>0</v>
      </c>
      <c r="AK142" s="392">
        <v>0</v>
      </c>
      <c r="AL142" s="392">
        <v>0</v>
      </c>
      <c r="AM142" s="392">
        <v>0</v>
      </c>
      <c r="AN142" s="392">
        <v>0</v>
      </c>
      <c r="AO142" s="392">
        <v>0</v>
      </c>
      <c r="AP142" s="393">
        <v>0</v>
      </c>
      <c r="AQ142" s="391">
        <f t="shared" si="82"/>
        <v>0</v>
      </c>
      <c r="AR142" s="392">
        <f t="shared" si="83"/>
        <v>0</v>
      </c>
      <c r="AS142" s="392">
        <f t="shared" si="84"/>
        <v>0</v>
      </c>
      <c r="AT142" s="392">
        <f t="shared" si="85"/>
        <v>0</v>
      </c>
      <c r="AU142" s="392">
        <f t="shared" si="86"/>
        <v>0</v>
      </c>
      <c r="AV142" s="392">
        <f t="shared" si="87"/>
        <v>0</v>
      </c>
      <c r="AW142" s="392">
        <f t="shared" si="88"/>
        <v>0</v>
      </c>
      <c r="AX142" s="392">
        <f t="shared" si="89"/>
        <v>0</v>
      </c>
      <c r="AY142" s="392">
        <f t="shared" si="90"/>
        <v>0</v>
      </c>
      <c r="AZ142" s="393">
        <f t="shared" si="91"/>
        <v>0</v>
      </c>
      <c r="BA142" s="302"/>
      <c r="BB142" s="302"/>
      <c r="BC142" s="302"/>
      <c r="BD142" s="302"/>
      <c r="BE142" s="302"/>
      <c r="BF142" s="302"/>
      <c r="BG142" s="302"/>
      <c r="BH142" s="302"/>
      <c r="BI142" s="302"/>
      <c r="BJ142" s="302"/>
      <c r="BK142" s="302"/>
      <c r="BL142" s="302"/>
      <c r="BM142" s="302"/>
      <c r="BN142" s="302"/>
      <c r="BO142" s="302"/>
      <c r="BP142" s="302"/>
      <c r="BQ142" s="302"/>
      <c r="BR142" s="302"/>
      <c r="BS142" s="302"/>
      <c r="BT142" s="302"/>
      <c r="BU142" s="302"/>
    </row>
    <row r="143" spans="1:73">
      <c r="A143" s="325"/>
      <c r="B143" s="394"/>
      <c r="C143" s="570" t="s">
        <v>564</v>
      </c>
      <c r="D143" s="572">
        <v>11.15</v>
      </c>
      <c r="E143" s="572">
        <v>8.26</v>
      </c>
      <c r="F143" s="395">
        <f t="shared" si="77"/>
        <v>3</v>
      </c>
      <c r="G143" s="382">
        <v>1800</v>
      </c>
      <c r="H143" s="396">
        <f t="shared" si="92"/>
        <v>1703</v>
      </c>
      <c r="I143" s="396">
        <v>1703</v>
      </c>
      <c r="J143" s="397"/>
      <c r="K143" s="570">
        <v>900</v>
      </c>
      <c r="L143" s="399">
        <f t="shared" si="78"/>
        <v>7.6302000000000003</v>
      </c>
      <c r="M143" s="395">
        <f t="shared" si="79"/>
        <v>7.637142857142857</v>
      </c>
      <c r="N143" s="400">
        <f t="shared" si="80"/>
        <v>2.2628571428571429</v>
      </c>
      <c r="O143" s="365"/>
      <c r="P143" s="401">
        <f t="shared" si="81"/>
        <v>0</v>
      </c>
      <c r="Q143" s="302"/>
      <c r="R143" s="302"/>
      <c r="S143" s="302"/>
      <c r="T143" s="302"/>
      <c r="U143" s="302"/>
      <c r="V143" s="302"/>
      <c r="W143" s="302"/>
      <c r="X143" s="302"/>
      <c r="Y143" s="302"/>
      <c r="Z143" s="302"/>
      <c r="AA143" s="302"/>
      <c r="AB143" s="302"/>
      <c r="AC143" s="302"/>
      <c r="AD143" s="302"/>
      <c r="AE143" s="302"/>
      <c r="AF143" s="302"/>
      <c r="AG143" s="391">
        <v>0</v>
      </c>
      <c r="AH143" s="392">
        <v>0</v>
      </c>
      <c r="AI143" s="392">
        <v>0</v>
      </c>
      <c r="AJ143" s="392">
        <v>0</v>
      </c>
      <c r="AK143" s="392">
        <v>0</v>
      </c>
      <c r="AL143" s="392">
        <v>0</v>
      </c>
      <c r="AM143" s="392">
        <v>0</v>
      </c>
      <c r="AN143" s="392">
        <v>0</v>
      </c>
      <c r="AO143" s="392">
        <v>0</v>
      </c>
      <c r="AP143" s="393">
        <v>0</v>
      </c>
      <c r="AQ143" s="391">
        <f t="shared" si="82"/>
        <v>0</v>
      </c>
      <c r="AR143" s="392">
        <f t="shared" si="83"/>
        <v>0</v>
      </c>
      <c r="AS143" s="392">
        <f t="shared" si="84"/>
        <v>0</v>
      </c>
      <c r="AT143" s="392">
        <f t="shared" si="85"/>
        <v>0</v>
      </c>
      <c r="AU143" s="392">
        <f t="shared" si="86"/>
        <v>0</v>
      </c>
      <c r="AV143" s="392">
        <f t="shared" si="87"/>
        <v>0</v>
      </c>
      <c r="AW143" s="392">
        <f t="shared" si="88"/>
        <v>0</v>
      </c>
      <c r="AX143" s="392">
        <f t="shared" si="89"/>
        <v>0</v>
      </c>
      <c r="AY143" s="392">
        <f t="shared" si="90"/>
        <v>0</v>
      </c>
      <c r="AZ143" s="393">
        <f t="shared" si="91"/>
        <v>0</v>
      </c>
      <c r="BA143" s="302"/>
      <c r="BB143" s="302"/>
      <c r="BC143" s="302"/>
      <c r="BD143" s="302"/>
      <c r="BE143" s="302"/>
      <c r="BF143" s="302"/>
      <c r="BG143" s="302"/>
      <c r="BH143" s="302"/>
      <c r="BI143" s="302"/>
      <c r="BJ143" s="302"/>
      <c r="BK143" s="302"/>
      <c r="BL143" s="302"/>
      <c r="BM143" s="302"/>
      <c r="BN143" s="302"/>
      <c r="BO143" s="302"/>
      <c r="BP143" s="302"/>
      <c r="BQ143" s="302"/>
      <c r="BR143" s="302"/>
      <c r="BS143" s="302"/>
      <c r="BT143" s="302"/>
      <c r="BU143" s="302"/>
    </row>
    <row r="144" spans="1:73">
      <c r="A144" s="325"/>
      <c r="B144" s="394"/>
      <c r="C144" s="570" t="s">
        <v>563</v>
      </c>
      <c r="D144" s="572">
        <v>10.9</v>
      </c>
      <c r="E144" s="572">
        <v>8.1920000000000002</v>
      </c>
      <c r="F144" s="395">
        <f t="shared" si="77"/>
        <v>2.75</v>
      </c>
      <c r="G144" s="382">
        <v>1800</v>
      </c>
      <c r="H144" s="396">
        <f t="shared" si="92"/>
        <v>1704</v>
      </c>
      <c r="I144" s="396">
        <v>1704</v>
      </c>
      <c r="J144" s="397"/>
      <c r="K144" s="570">
        <v>900</v>
      </c>
      <c r="L144" s="399">
        <f t="shared" si="78"/>
        <v>6.9943500000000007</v>
      </c>
      <c r="M144" s="395">
        <f t="shared" si="79"/>
        <v>7.0007142857142863</v>
      </c>
      <c r="N144" s="400">
        <f t="shared" si="80"/>
        <v>2.2628571428571429</v>
      </c>
      <c r="O144" s="365"/>
      <c r="P144" s="401">
        <f t="shared" si="81"/>
        <v>0</v>
      </c>
      <c r="Q144" s="302"/>
      <c r="R144" s="302"/>
      <c r="S144" s="302"/>
      <c r="T144" s="302"/>
      <c r="U144" s="302"/>
      <c r="V144" s="302"/>
      <c r="W144" s="302"/>
      <c r="X144" s="302"/>
      <c r="Y144" s="302"/>
      <c r="Z144" s="302"/>
      <c r="AA144" s="302"/>
      <c r="AB144" s="302"/>
      <c r="AC144" s="302"/>
      <c r="AD144" s="302"/>
      <c r="AE144" s="302"/>
      <c r="AF144" s="302"/>
      <c r="AG144" s="391">
        <v>0</v>
      </c>
      <c r="AH144" s="392">
        <v>0</v>
      </c>
      <c r="AI144" s="392">
        <v>0</v>
      </c>
      <c r="AJ144" s="392">
        <v>0</v>
      </c>
      <c r="AK144" s="392">
        <v>0</v>
      </c>
      <c r="AL144" s="392">
        <v>0</v>
      </c>
      <c r="AM144" s="392">
        <v>0</v>
      </c>
      <c r="AN144" s="392">
        <v>0</v>
      </c>
      <c r="AO144" s="392">
        <v>0</v>
      </c>
      <c r="AP144" s="393">
        <v>0</v>
      </c>
      <c r="AQ144" s="391">
        <f t="shared" si="82"/>
        <v>0</v>
      </c>
      <c r="AR144" s="392">
        <f t="shared" si="83"/>
        <v>0</v>
      </c>
      <c r="AS144" s="392">
        <f t="shared" si="84"/>
        <v>0</v>
      </c>
      <c r="AT144" s="392">
        <f t="shared" si="85"/>
        <v>0</v>
      </c>
      <c r="AU144" s="392">
        <f t="shared" si="86"/>
        <v>0</v>
      </c>
      <c r="AV144" s="392">
        <f t="shared" si="87"/>
        <v>0</v>
      </c>
      <c r="AW144" s="392">
        <f t="shared" si="88"/>
        <v>0</v>
      </c>
      <c r="AX144" s="392">
        <f t="shared" si="89"/>
        <v>0</v>
      </c>
      <c r="AY144" s="392">
        <f t="shared" si="90"/>
        <v>0</v>
      </c>
      <c r="AZ144" s="393">
        <f t="shared" si="91"/>
        <v>0</v>
      </c>
      <c r="BA144" s="302"/>
      <c r="BB144" s="302"/>
      <c r="BC144" s="302"/>
      <c r="BD144" s="302"/>
      <c r="BE144" s="302"/>
      <c r="BF144" s="302"/>
      <c r="BG144" s="302"/>
      <c r="BH144" s="302"/>
      <c r="BI144" s="302"/>
      <c r="BJ144" s="302"/>
      <c r="BK144" s="302"/>
      <c r="BL144" s="302"/>
      <c r="BM144" s="302"/>
      <c r="BN144" s="302"/>
      <c r="BO144" s="302"/>
      <c r="BP144" s="302"/>
      <c r="BQ144" s="302"/>
      <c r="BR144" s="302"/>
      <c r="BS144" s="302"/>
      <c r="BT144" s="302"/>
      <c r="BU144" s="302"/>
    </row>
    <row r="145" spans="1:73">
      <c r="A145" s="325"/>
      <c r="B145" s="394"/>
      <c r="C145" s="570" t="s">
        <v>562</v>
      </c>
      <c r="D145" s="572">
        <v>10.7</v>
      </c>
      <c r="E145" s="572">
        <v>8.1440000000000001</v>
      </c>
      <c r="F145" s="395">
        <f t="shared" si="77"/>
        <v>2.75</v>
      </c>
      <c r="G145" s="382">
        <v>1800</v>
      </c>
      <c r="H145" s="396">
        <f t="shared" si="92"/>
        <v>1705</v>
      </c>
      <c r="I145" s="396">
        <v>1705</v>
      </c>
      <c r="J145" s="397"/>
      <c r="K145" s="570">
        <v>900</v>
      </c>
      <c r="L145" s="399">
        <f t="shared" si="78"/>
        <v>6.9943500000000007</v>
      </c>
      <c r="M145" s="395">
        <f t="shared" si="79"/>
        <v>7.0007142857142863</v>
      </c>
      <c r="N145" s="400">
        <f t="shared" si="80"/>
        <v>2.2628571428571429</v>
      </c>
      <c r="O145" s="365"/>
      <c r="P145" s="401">
        <f t="shared" si="81"/>
        <v>0</v>
      </c>
      <c r="Q145" s="302"/>
      <c r="R145" s="302"/>
      <c r="S145" s="302"/>
      <c r="T145" s="302"/>
      <c r="U145" s="302"/>
      <c r="V145" s="302"/>
      <c r="W145" s="302"/>
      <c r="X145" s="302"/>
      <c r="Y145" s="302"/>
      <c r="Z145" s="302"/>
      <c r="AA145" s="302"/>
      <c r="AB145" s="302"/>
      <c r="AC145" s="302"/>
      <c r="AD145" s="302"/>
      <c r="AE145" s="302"/>
      <c r="AF145" s="302"/>
      <c r="AG145" s="391">
        <v>0</v>
      </c>
      <c r="AH145" s="392">
        <v>0</v>
      </c>
      <c r="AI145" s="392">
        <v>0</v>
      </c>
      <c r="AJ145" s="392">
        <v>0</v>
      </c>
      <c r="AK145" s="392">
        <v>0</v>
      </c>
      <c r="AL145" s="392">
        <v>0</v>
      </c>
      <c r="AM145" s="392">
        <v>0</v>
      </c>
      <c r="AN145" s="392">
        <v>0</v>
      </c>
      <c r="AO145" s="392">
        <v>0</v>
      </c>
      <c r="AP145" s="393">
        <v>0</v>
      </c>
      <c r="AQ145" s="391">
        <f t="shared" si="82"/>
        <v>0</v>
      </c>
      <c r="AR145" s="392">
        <f t="shared" si="83"/>
        <v>0</v>
      </c>
      <c r="AS145" s="392">
        <f t="shared" si="84"/>
        <v>0</v>
      </c>
      <c r="AT145" s="392">
        <f t="shared" si="85"/>
        <v>0</v>
      </c>
      <c r="AU145" s="392">
        <f t="shared" si="86"/>
        <v>0</v>
      </c>
      <c r="AV145" s="392">
        <f t="shared" si="87"/>
        <v>0</v>
      </c>
      <c r="AW145" s="392">
        <f t="shared" si="88"/>
        <v>0</v>
      </c>
      <c r="AX145" s="392">
        <f t="shared" si="89"/>
        <v>0</v>
      </c>
      <c r="AY145" s="392">
        <f t="shared" si="90"/>
        <v>0</v>
      </c>
      <c r="AZ145" s="393">
        <f t="shared" si="91"/>
        <v>0</v>
      </c>
      <c r="BA145" s="302"/>
      <c r="BB145" s="302"/>
      <c r="BC145" s="302"/>
      <c r="BD145" s="302"/>
      <c r="BE145" s="302"/>
      <c r="BF145" s="302"/>
      <c r="BG145" s="302"/>
      <c r="BH145" s="302"/>
      <c r="BI145" s="302"/>
      <c r="BJ145" s="302"/>
      <c r="BK145" s="302"/>
      <c r="BL145" s="302"/>
      <c r="BM145" s="302"/>
      <c r="BN145" s="302"/>
      <c r="BO145" s="302"/>
      <c r="BP145" s="302"/>
      <c r="BQ145" s="302"/>
      <c r="BR145" s="302"/>
      <c r="BS145" s="302"/>
      <c r="BT145" s="302"/>
      <c r="BU145" s="302"/>
    </row>
    <row r="146" spans="1:73">
      <c r="A146" s="325"/>
      <c r="B146" s="394"/>
      <c r="C146" s="570"/>
      <c r="D146" s="572"/>
      <c r="E146" s="572"/>
      <c r="F146" s="395">
        <f t="shared" si="77"/>
        <v>0</v>
      </c>
      <c r="G146" s="382"/>
      <c r="H146" s="396">
        <f t="shared" si="92"/>
        <v>1706</v>
      </c>
      <c r="I146" s="396">
        <v>1706</v>
      </c>
      <c r="J146" s="397"/>
      <c r="K146" s="570"/>
      <c r="L146" s="399">
        <f t="shared" si="78"/>
        <v>0</v>
      </c>
      <c r="M146" s="395">
        <f t="shared" si="79"/>
        <v>0</v>
      </c>
      <c r="N146" s="400">
        <f t="shared" si="80"/>
        <v>0</v>
      </c>
      <c r="O146" s="365"/>
      <c r="P146" s="401">
        <f t="shared" si="81"/>
        <v>0</v>
      </c>
      <c r="Q146" s="302"/>
      <c r="R146" s="302"/>
      <c r="S146" s="302"/>
      <c r="T146" s="302"/>
      <c r="U146" s="302"/>
      <c r="V146" s="302"/>
      <c r="W146" s="302"/>
      <c r="X146" s="302"/>
      <c r="Y146" s="302"/>
      <c r="Z146" s="302"/>
      <c r="AA146" s="302"/>
      <c r="AB146" s="302"/>
      <c r="AC146" s="302"/>
      <c r="AD146" s="302"/>
      <c r="AE146" s="302"/>
      <c r="AF146" s="302"/>
      <c r="AG146" s="391">
        <v>0</v>
      </c>
      <c r="AH146" s="392">
        <v>0</v>
      </c>
      <c r="AI146" s="392">
        <v>0</v>
      </c>
      <c r="AJ146" s="392">
        <v>0</v>
      </c>
      <c r="AK146" s="392">
        <v>0</v>
      </c>
      <c r="AL146" s="392">
        <v>0</v>
      </c>
      <c r="AM146" s="392">
        <v>0</v>
      </c>
      <c r="AN146" s="392">
        <v>0</v>
      </c>
      <c r="AO146" s="392">
        <v>0</v>
      </c>
      <c r="AP146" s="393">
        <v>0</v>
      </c>
      <c r="AQ146" s="391">
        <f t="shared" si="82"/>
        <v>0</v>
      </c>
      <c r="AR146" s="392">
        <f t="shared" si="83"/>
        <v>0</v>
      </c>
      <c r="AS146" s="392">
        <f t="shared" si="84"/>
        <v>0</v>
      </c>
      <c r="AT146" s="392">
        <f t="shared" si="85"/>
        <v>0</v>
      </c>
      <c r="AU146" s="392">
        <f t="shared" si="86"/>
        <v>0</v>
      </c>
      <c r="AV146" s="392">
        <f t="shared" si="87"/>
        <v>0</v>
      </c>
      <c r="AW146" s="392">
        <f t="shared" si="88"/>
        <v>0</v>
      </c>
      <c r="AX146" s="392">
        <f t="shared" si="89"/>
        <v>0</v>
      </c>
      <c r="AY146" s="392">
        <f t="shared" si="90"/>
        <v>0</v>
      </c>
      <c r="AZ146" s="393">
        <f t="shared" si="91"/>
        <v>0</v>
      </c>
      <c r="BA146" s="302"/>
      <c r="BB146" s="302"/>
      <c r="BC146" s="302"/>
      <c r="BD146" s="302"/>
      <c r="BE146" s="302"/>
      <c r="BF146" s="302"/>
      <c r="BG146" s="302"/>
      <c r="BH146" s="302"/>
      <c r="BI146" s="302"/>
      <c r="BJ146" s="302"/>
      <c r="BK146" s="302"/>
      <c r="BL146" s="302"/>
      <c r="BM146" s="302"/>
      <c r="BN146" s="302"/>
      <c r="BO146" s="302"/>
      <c r="BP146" s="302"/>
      <c r="BQ146" s="302"/>
      <c r="BR146" s="302"/>
      <c r="BS146" s="302"/>
      <c r="BT146" s="302"/>
      <c r="BU146" s="302"/>
    </row>
    <row r="147" spans="1:73">
      <c r="A147" s="325"/>
      <c r="B147" s="394"/>
      <c r="C147" s="570" t="s">
        <v>561</v>
      </c>
      <c r="D147" s="572">
        <v>11.2</v>
      </c>
      <c r="E147" s="572">
        <v>9.5350000000000001</v>
      </c>
      <c r="F147" s="395">
        <f t="shared" si="77"/>
        <v>1.75</v>
      </c>
      <c r="G147" s="382">
        <v>1200</v>
      </c>
      <c r="H147" s="396">
        <f t="shared" si="92"/>
        <v>1707</v>
      </c>
      <c r="I147" s="396">
        <v>1707</v>
      </c>
      <c r="J147" s="397"/>
      <c r="K147" s="570">
        <v>300</v>
      </c>
      <c r="L147" s="399">
        <f t="shared" si="78"/>
        <v>1.9782000000000002</v>
      </c>
      <c r="M147" s="395">
        <f t="shared" si="79"/>
        <v>1.98</v>
      </c>
      <c r="N147" s="400">
        <f t="shared" si="80"/>
        <v>2.2628571428571429</v>
      </c>
      <c r="O147" s="365"/>
      <c r="P147" s="401">
        <f t="shared" si="81"/>
        <v>0</v>
      </c>
      <c r="Q147" s="302"/>
      <c r="R147" s="302"/>
      <c r="S147" s="302"/>
      <c r="T147" s="302"/>
      <c r="U147" s="302"/>
      <c r="V147" s="302"/>
      <c r="W147" s="302"/>
      <c r="X147" s="302"/>
      <c r="Y147" s="302"/>
      <c r="Z147" s="302"/>
      <c r="AA147" s="302"/>
      <c r="AB147" s="302"/>
      <c r="AC147" s="302"/>
      <c r="AD147" s="302"/>
      <c r="AE147" s="302"/>
      <c r="AF147" s="302"/>
      <c r="AG147" s="391">
        <v>0</v>
      </c>
      <c r="AH147" s="392">
        <v>0</v>
      </c>
      <c r="AI147" s="392">
        <v>0</v>
      </c>
      <c r="AJ147" s="392">
        <v>0</v>
      </c>
      <c r="AK147" s="392">
        <v>0</v>
      </c>
      <c r="AL147" s="392">
        <v>0</v>
      </c>
      <c r="AM147" s="392">
        <v>0</v>
      </c>
      <c r="AN147" s="392">
        <v>0</v>
      </c>
      <c r="AO147" s="392">
        <v>0</v>
      </c>
      <c r="AP147" s="393">
        <v>0</v>
      </c>
      <c r="AQ147" s="391">
        <f t="shared" si="82"/>
        <v>0</v>
      </c>
      <c r="AR147" s="392">
        <f t="shared" si="83"/>
        <v>0</v>
      </c>
      <c r="AS147" s="392">
        <f t="shared" si="84"/>
        <v>0</v>
      </c>
      <c r="AT147" s="392">
        <f t="shared" si="85"/>
        <v>0</v>
      </c>
      <c r="AU147" s="392">
        <f t="shared" si="86"/>
        <v>0</v>
      </c>
      <c r="AV147" s="392">
        <f t="shared" si="87"/>
        <v>0</v>
      </c>
      <c r="AW147" s="392">
        <f t="shared" si="88"/>
        <v>0</v>
      </c>
      <c r="AX147" s="392">
        <f t="shared" si="89"/>
        <v>0</v>
      </c>
      <c r="AY147" s="392">
        <f t="shared" si="90"/>
        <v>0</v>
      </c>
      <c r="AZ147" s="393">
        <f t="shared" si="91"/>
        <v>0</v>
      </c>
      <c r="BA147" s="302"/>
      <c r="BB147" s="302"/>
      <c r="BC147" s="302"/>
      <c r="BD147" s="302"/>
      <c r="BE147" s="302"/>
      <c r="BF147" s="302"/>
      <c r="BG147" s="302"/>
      <c r="BH147" s="302"/>
      <c r="BI147" s="302"/>
      <c r="BJ147" s="302"/>
      <c r="BK147" s="302"/>
      <c r="BL147" s="302"/>
      <c r="BM147" s="302"/>
      <c r="BN147" s="302"/>
      <c r="BO147" s="302"/>
      <c r="BP147" s="302"/>
      <c r="BQ147" s="302"/>
      <c r="BR147" s="302"/>
      <c r="BS147" s="302"/>
      <c r="BT147" s="302"/>
      <c r="BU147" s="302"/>
    </row>
    <row r="148" spans="1:73">
      <c r="A148" s="325"/>
      <c r="B148" s="394"/>
      <c r="C148" s="570" t="s">
        <v>560</v>
      </c>
      <c r="D148" s="572">
        <v>11.1</v>
      </c>
      <c r="E148" s="572">
        <v>9.4640000000000004</v>
      </c>
      <c r="F148" s="395">
        <f t="shared" si="77"/>
        <v>1.75</v>
      </c>
      <c r="G148" s="382">
        <v>1200</v>
      </c>
      <c r="H148" s="396">
        <f t="shared" si="92"/>
        <v>1708</v>
      </c>
      <c r="I148" s="396">
        <v>1708</v>
      </c>
      <c r="J148" s="397"/>
      <c r="K148" s="570">
        <v>300</v>
      </c>
      <c r="L148" s="399">
        <f t="shared" si="78"/>
        <v>1.9782000000000002</v>
      </c>
      <c r="M148" s="395">
        <f t="shared" si="79"/>
        <v>1.98</v>
      </c>
      <c r="N148" s="400">
        <f t="shared" si="80"/>
        <v>2.2628571428571429</v>
      </c>
      <c r="O148" s="365"/>
      <c r="P148" s="401">
        <f t="shared" si="81"/>
        <v>0</v>
      </c>
      <c r="Q148" s="302"/>
      <c r="R148" s="302"/>
      <c r="S148" s="302"/>
      <c r="T148" s="302"/>
      <c r="U148" s="302"/>
      <c r="V148" s="302"/>
      <c r="W148" s="302"/>
      <c r="X148" s="302"/>
      <c r="Y148" s="302"/>
      <c r="Z148" s="302"/>
      <c r="AA148" s="302"/>
      <c r="AB148" s="302"/>
      <c r="AC148" s="302"/>
      <c r="AD148" s="302"/>
      <c r="AE148" s="302"/>
      <c r="AF148" s="302"/>
      <c r="AG148" s="391">
        <v>0</v>
      </c>
      <c r="AH148" s="392">
        <v>0</v>
      </c>
      <c r="AI148" s="392">
        <v>0</v>
      </c>
      <c r="AJ148" s="392">
        <v>0</v>
      </c>
      <c r="AK148" s="392">
        <v>0</v>
      </c>
      <c r="AL148" s="392">
        <v>0</v>
      </c>
      <c r="AM148" s="392">
        <v>0</v>
      </c>
      <c r="AN148" s="392">
        <v>0</v>
      </c>
      <c r="AO148" s="392">
        <v>0</v>
      </c>
      <c r="AP148" s="393">
        <v>0</v>
      </c>
      <c r="AQ148" s="391">
        <f t="shared" si="82"/>
        <v>0</v>
      </c>
      <c r="AR148" s="392">
        <f t="shared" si="83"/>
        <v>0</v>
      </c>
      <c r="AS148" s="392">
        <f t="shared" si="84"/>
        <v>0</v>
      </c>
      <c r="AT148" s="392">
        <f t="shared" si="85"/>
        <v>0</v>
      </c>
      <c r="AU148" s="392">
        <f t="shared" si="86"/>
        <v>0</v>
      </c>
      <c r="AV148" s="392">
        <f t="shared" si="87"/>
        <v>0</v>
      </c>
      <c r="AW148" s="392">
        <f t="shared" si="88"/>
        <v>0</v>
      </c>
      <c r="AX148" s="392">
        <f t="shared" si="89"/>
        <v>0</v>
      </c>
      <c r="AY148" s="392">
        <f t="shared" si="90"/>
        <v>0</v>
      </c>
      <c r="AZ148" s="393">
        <f t="shared" si="91"/>
        <v>0</v>
      </c>
      <c r="BA148" s="302"/>
      <c r="BB148" s="302"/>
      <c r="BC148" s="302"/>
      <c r="BD148" s="302"/>
      <c r="BE148" s="302"/>
      <c r="BF148" s="302"/>
      <c r="BG148" s="302"/>
      <c r="BH148" s="302"/>
      <c r="BI148" s="302"/>
      <c r="BJ148" s="302"/>
      <c r="BK148" s="302"/>
      <c r="BL148" s="302"/>
      <c r="BM148" s="302"/>
      <c r="BN148" s="302"/>
      <c r="BO148" s="302"/>
      <c r="BP148" s="302"/>
      <c r="BQ148" s="302"/>
      <c r="BR148" s="302"/>
      <c r="BS148" s="302"/>
      <c r="BT148" s="302"/>
      <c r="BU148" s="302"/>
    </row>
    <row r="149" spans="1:73">
      <c r="A149" s="325"/>
      <c r="B149" s="394"/>
      <c r="C149" s="570" t="s">
        <v>559</v>
      </c>
      <c r="D149" s="572">
        <v>10.95</v>
      </c>
      <c r="E149" s="572">
        <v>9.2560000000000002</v>
      </c>
      <c r="F149" s="395">
        <f t="shared" si="77"/>
        <v>1.75</v>
      </c>
      <c r="G149" s="382">
        <v>1200</v>
      </c>
      <c r="H149" s="396">
        <f t="shared" si="92"/>
        <v>1709</v>
      </c>
      <c r="I149" s="396">
        <v>1709</v>
      </c>
      <c r="J149" s="397"/>
      <c r="K149" s="570">
        <v>450</v>
      </c>
      <c r="L149" s="399">
        <f t="shared" si="78"/>
        <v>1.9782000000000002</v>
      </c>
      <c r="M149" s="395">
        <f t="shared" si="79"/>
        <v>1.98</v>
      </c>
      <c r="N149" s="400">
        <f t="shared" si="80"/>
        <v>2.2628571428571429</v>
      </c>
      <c r="O149" s="365"/>
      <c r="P149" s="401">
        <f t="shared" si="81"/>
        <v>0</v>
      </c>
      <c r="Q149" s="302"/>
      <c r="R149" s="302"/>
      <c r="S149" s="302"/>
      <c r="T149" s="302"/>
      <c r="U149" s="302"/>
      <c r="V149" s="302"/>
      <c r="W149" s="302"/>
      <c r="X149" s="302"/>
      <c r="Y149" s="302"/>
      <c r="Z149" s="302"/>
      <c r="AA149" s="302"/>
      <c r="AB149" s="302"/>
      <c r="AC149" s="302"/>
      <c r="AD149" s="302"/>
      <c r="AE149" s="302"/>
      <c r="AF149" s="302"/>
      <c r="AG149" s="391">
        <v>0</v>
      </c>
      <c r="AH149" s="392">
        <v>0</v>
      </c>
      <c r="AI149" s="392">
        <v>0</v>
      </c>
      <c r="AJ149" s="392">
        <v>0</v>
      </c>
      <c r="AK149" s="392">
        <v>0</v>
      </c>
      <c r="AL149" s="392">
        <v>0</v>
      </c>
      <c r="AM149" s="392">
        <v>0</v>
      </c>
      <c r="AN149" s="392">
        <v>0</v>
      </c>
      <c r="AO149" s="392">
        <v>0</v>
      </c>
      <c r="AP149" s="393">
        <v>0</v>
      </c>
      <c r="AQ149" s="391">
        <f t="shared" si="82"/>
        <v>0</v>
      </c>
      <c r="AR149" s="392">
        <f t="shared" si="83"/>
        <v>0</v>
      </c>
      <c r="AS149" s="392">
        <f t="shared" si="84"/>
        <v>0</v>
      </c>
      <c r="AT149" s="392">
        <f t="shared" si="85"/>
        <v>0</v>
      </c>
      <c r="AU149" s="392">
        <f t="shared" si="86"/>
        <v>0</v>
      </c>
      <c r="AV149" s="392">
        <f t="shared" si="87"/>
        <v>0</v>
      </c>
      <c r="AW149" s="392">
        <f t="shared" si="88"/>
        <v>0</v>
      </c>
      <c r="AX149" s="392">
        <f t="shared" si="89"/>
        <v>0</v>
      </c>
      <c r="AY149" s="392">
        <f t="shared" si="90"/>
        <v>0</v>
      </c>
      <c r="AZ149" s="393">
        <f t="shared" si="91"/>
        <v>0</v>
      </c>
      <c r="BA149" s="302"/>
      <c r="BB149" s="302"/>
      <c r="BC149" s="302"/>
      <c r="BD149" s="302"/>
      <c r="BE149" s="302"/>
      <c r="BF149" s="302"/>
      <c r="BG149" s="302"/>
      <c r="BH149" s="302"/>
      <c r="BI149" s="302"/>
      <c r="BJ149" s="302"/>
      <c r="BK149" s="302"/>
      <c r="BL149" s="302"/>
      <c r="BM149" s="302"/>
      <c r="BN149" s="302"/>
      <c r="BO149" s="302"/>
      <c r="BP149" s="302"/>
      <c r="BQ149" s="302"/>
      <c r="BR149" s="302"/>
      <c r="BS149" s="302"/>
      <c r="BT149" s="302"/>
      <c r="BU149" s="302"/>
    </row>
    <row r="150" spans="1:73">
      <c r="A150" s="325"/>
      <c r="B150" s="394"/>
      <c r="C150" s="570" t="s">
        <v>558</v>
      </c>
      <c r="D150" s="572">
        <v>10.96</v>
      </c>
      <c r="E150" s="572">
        <v>9.1210000000000004</v>
      </c>
      <c r="F150" s="395">
        <f t="shared" si="77"/>
        <v>2</v>
      </c>
      <c r="G150" s="382">
        <v>1200</v>
      </c>
      <c r="H150" s="396">
        <f t="shared" si="92"/>
        <v>1710</v>
      </c>
      <c r="I150" s="396">
        <v>1710</v>
      </c>
      <c r="J150" s="397"/>
      <c r="K150" s="570">
        <v>450</v>
      </c>
      <c r="L150" s="399">
        <f t="shared" si="78"/>
        <v>2.2608000000000001</v>
      </c>
      <c r="M150" s="395">
        <f t="shared" si="79"/>
        <v>2.2628571428571429</v>
      </c>
      <c r="N150" s="400">
        <f t="shared" si="80"/>
        <v>2.2628571428571429</v>
      </c>
      <c r="O150" s="365"/>
      <c r="P150" s="401">
        <f t="shared" si="81"/>
        <v>0</v>
      </c>
      <c r="Q150" s="302"/>
      <c r="R150" s="302"/>
      <c r="S150" s="302"/>
      <c r="T150" s="302"/>
      <c r="U150" s="302"/>
      <c r="V150" s="302"/>
      <c r="W150" s="302"/>
      <c r="X150" s="302"/>
      <c r="Y150" s="302"/>
      <c r="Z150" s="302"/>
      <c r="AA150" s="302"/>
      <c r="AB150" s="302"/>
      <c r="AC150" s="302"/>
      <c r="AD150" s="302"/>
      <c r="AE150" s="302"/>
      <c r="AF150" s="302"/>
      <c r="AG150" s="391">
        <v>0</v>
      </c>
      <c r="AH150" s="392">
        <v>0</v>
      </c>
      <c r="AI150" s="392">
        <v>0</v>
      </c>
      <c r="AJ150" s="392">
        <v>0</v>
      </c>
      <c r="AK150" s="392">
        <v>0</v>
      </c>
      <c r="AL150" s="392">
        <v>0</v>
      </c>
      <c r="AM150" s="392">
        <v>0</v>
      </c>
      <c r="AN150" s="392">
        <v>0</v>
      </c>
      <c r="AO150" s="392">
        <v>0</v>
      </c>
      <c r="AP150" s="393">
        <v>0</v>
      </c>
      <c r="AQ150" s="391">
        <f t="shared" si="82"/>
        <v>0</v>
      </c>
      <c r="AR150" s="392">
        <f t="shared" si="83"/>
        <v>0</v>
      </c>
      <c r="AS150" s="392">
        <f t="shared" si="84"/>
        <v>0</v>
      </c>
      <c r="AT150" s="392">
        <f t="shared" si="85"/>
        <v>0</v>
      </c>
      <c r="AU150" s="392">
        <f t="shared" si="86"/>
        <v>0</v>
      </c>
      <c r="AV150" s="392">
        <f t="shared" si="87"/>
        <v>0</v>
      </c>
      <c r="AW150" s="392">
        <f t="shared" si="88"/>
        <v>0</v>
      </c>
      <c r="AX150" s="392">
        <f t="shared" si="89"/>
        <v>0</v>
      </c>
      <c r="AY150" s="392">
        <f t="shared" si="90"/>
        <v>0</v>
      </c>
      <c r="AZ150" s="393">
        <f t="shared" si="91"/>
        <v>0</v>
      </c>
      <c r="BA150" s="302"/>
      <c r="BB150" s="302"/>
      <c r="BC150" s="302"/>
      <c r="BD150" s="302"/>
      <c r="BE150" s="302"/>
      <c r="BF150" s="302"/>
      <c r="BG150" s="302"/>
      <c r="BH150" s="302"/>
      <c r="BI150" s="302"/>
      <c r="BJ150" s="302"/>
      <c r="BK150" s="302"/>
      <c r="BL150" s="302"/>
      <c r="BM150" s="302"/>
      <c r="BN150" s="302"/>
      <c r="BO150" s="302"/>
      <c r="BP150" s="302"/>
      <c r="BQ150" s="302"/>
      <c r="BR150" s="302"/>
      <c r="BS150" s="302"/>
      <c r="BT150" s="302"/>
      <c r="BU150" s="302"/>
    </row>
    <row r="151" spans="1:73">
      <c r="A151" s="325"/>
      <c r="B151" s="394"/>
      <c r="C151" s="570"/>
      <c r="D151" s="572"/>
      <c r="E151" s="572"/>
      <c r="F151" s="395">
        <f t="shared" si="77"/>
        <v>0</v>
      </c>
      <c r="G151" s="382"/>
      <c r="H151" s="396">
        <f t="shared" si="92"/>
        <v>1711</v>
      </c>
      <c r="I151" s="396">
        <v>1711</v>
      </c>
      <c r="J151" s="397"/>
      <c r="K151" s="570"/>
      <c r="L151" s="399">
        <f t="shared" si="78"/>
        <v>0</v>
      </c>
      <c r="M151" s="395">
        <f t="shared" si="79"/>
        <v>0</v>
      </c>
      <c r="N151" s="400">
        <f t="shared" si="80"/>
        <v>0</v>
      </c>
      <c r="O151" s="365"/>
      <c r="P151" s="401">
        <f t="shared" ref="P151:P182" si="93">IF($A151&gt;0,(VLOOKUP($G151,$Q$253:$S$258,3)),0)</f>
        <v>0</v>
      </c>
      <c r="Q151" s="302"/>
      <c r="R151" s="302"/>
      <c r="S151" s="302"/>
      <c r="T151" s="302"/>
      <c r="U151" s="302"/>
      <c r="V151" s="302"/>
      <c r="W151" s="302"/>
      <c r="X151" s="302"/>
      <c r="Y151" s="302"/>
      <c r="Z151" s="302"/>
      <c r="AA151" s="302"/>
      <c r="AB151" s="302"/>
      <c r="AC151" s="302"/>
      <c r="AD151" s="302"/>
      <c r="AE151" s="302"/>
      <c r="AF151" s="302"/>
      <c r="AG151" s="391">
        <v>0</v>
      </c>
      <c r="AH151" s="392">
        <v>0</v>
      </c>
      <c r="AI151" s="392">
        <v>0</v>
      </c>
      <c r="AJ151" s="392">
        <v>0</v>
      </c>
      <c r="AK151" s="392">
        <v>0</v>
      </c>
      <c r="AL151" s="392">
        <v>0</v>
      </c>
      <c r="AM151" s="392">
        <v>0</v>
      </c>
      <c r="AN151" s="392">
        <v>0</v>
      </c>
      <c r="AO151" s="392">
        <v>0</v>
      </c>
      <c r="AP151" s="393">
        <v>0</v>
      </c>
      <c r="AQ151" s="391">
        <f t="shared" si="82"/>
        <v>0</v>
      </c>
      <c r="AR151" s="392">
        <f t="shared" si="83"/>
        <v>0</v>
      </c>
      <c r="AS151" s="392">
        <f t="shared" si="84"/>
        <v>0</v>
      </c>
      <c r="AT151" s="392">
        <f t="shared" si="85"/>
        <v>0</v>
      </c>
      <c r="AU151" s="392">
        <f t="shared" si="86"/>
        <v>0</v>
      </c>
      <c r="AV151" s="392">
        <f t="shared" si="87"/>
        <v>0</v>
      </c>
      <c r="AW151" s="392">
        <f t="shared" si="88"/>
        <v>0</v>
      </c>
      <c r="AX151" s="392">
        <f t="shared" si="89"/>
        <v>0</v>
      </c>
      <c r="AY151" s="392">
        <f t="shared" si="90"/>
        <v>0</v>
      </c>
      <c r="AZ151" s="393">
        <f t="shared" si="91"/>
        <v>0</v>
      </c>
      <c r="BA151" s="302"/>
      <c r="BB151" s="302"/>
      <c r="BC151" s="302"/>
      <c r="BD151" s="302"/>
      <c r="BE151" s="302"/>
      <c r="BF151" s="302"/>
      <c r="BG151" s="302"/>
      <c r="BH151" s="302"/>
      <c r="BI151" s="302"/>
      <c r="BJ151" s="302"/>
      <c r="BK151" s="302"/>
      <c r="BL151" s="302"/>
      <c r="BM151" s="302"/>
      <c r="BN151" s="302"/>
      <c r="BO151" s="302"/>
      <c r="BP151" s="302"/>
      <c r="BQ151" s="302"/>
      <c r="BR151" s="302"/>
      <c r="BS151" s="302"/>
      <c r="BT151" s="302"/>
      <c r="BU151" s="302"/>
    </row>
    <row r="152" spans="1:73">
      <c r="A152" s="325"/>
      <c r="B152" s="394"/>
      <c r="C152" s="570" t="s">
        <v>557</v>
      </c>
      <c r="D152" s="572">
        <v>11.3</v>
      </c>
      <c r="E152" s="572">
        <v>9.3829999999999991</v>
      </c>
      <c r="F152" s="395">
        <f t="shared" si="77"/>
        <v>2</v>
      </c>
      <c r="G152" s="382">
        <v>1200</v>
      </c>
      <c r="H152" s="396">
        <f t="shared" si="92"/>
        <v>1712</v>
      </c>
      <c r="I152" s="396">
        <v>1712</v>
      </c>
      <c r="J152" s="397"/>
      <c r="K152" s="570">
        <v>225</v>
      </c>
      <c r="L152" s="399">
        <f t="shared" si="78"/>
        <v>2.2608000000000001</v>
      </c>
      <c r="M152" s="395">
        <f t="shared" si="79"/>
        <v>2.2628571428571429</v>
      </c>
      <c r="N152" s="400">
        <f t="shared" si="80"/>
        <v>2.2628571428571429</v>
      </c>
      <c r="O152" s="365"/>
      <c r="P152" s="401">
        <f t="shared" si="93"/>
        <v>0</v>
      </c>
      <c r="Q152" s="302"/>
      <c r="R152" s="302"/>
      <c r="S152" s="302"/>
      <c r="T152" s="302"/>
      <c r="U152" s="302"/>
      <c r="V152" s="302"/>
      <c r="W152" s="302"/>
      <c r="X152" s="302"/>
      <c r="Y152" s="302"/>
      <c r="Z152" s="302"/>
      <c r="AA152" s="302"/>
      <c r="AB152" s="302"/>
      <c r="AC152" s="302"/>
      <c r="AD152" s="302"/>
      <c r="AE152" s="302"/>
      <c r="AF152" s="302"/>
      <c r="AG152" s="391">
        <v>0</v>
      </c>
      <c r="AH152" s="392">
        <v>0</v>
      </c>
      <c r="AI152" s="392">
        <v>0</v>
      </c>
      <c r="AJ152" s="392">
        <v>0</v>
      </c>
      <c r="AK152" s="392">
        <v>0</v>
      </c>
      <c r="AL152" s="392">
        <v>0</v>
      </c>
      <c r="AM152" s="392">
        <v>0</v>
      </c>
      <c r="AN152" s="392">
        <v>0</v>
      </c>
      <c r="AO152" s="392">
        <v>0</v>
      </c>
      <c r="AP152" s="393">
        <v>0</v>
      </c>
      <c r="AQ152" s="391">
        <f t="shared" si="82"/>
        <v>0</v>
      </c>
      <c r="AR152" s="392">
        <f t="shared" si="83"/>
        <v>0</v>
      </c>
      <c r="AS152" s="392">
        <f t="shared" si="84"/>
        <v>0</v>
      </c>
      <c r="AT152" s="392">
        <f t="shared" si="85"/>
        <v>0</v>
      </c>
      <c r="AU152" s="392">
        <f t="shared" si="86"/>
        <v>0</v>
      </c>
      <c r="AV152" s="392">
        <f t="shared" si="87"/>
        <v>0</v>
      </c>
      <c r="AW152" s="392">
        <f t="shared" si="88"/>
        <v>0</v>
      </c>
      <c r="AX152" s="392">
        <f t="shared" si="89"/>
        <v>0</v>
      </c>
      <c r="AY152" s="392">
        <f t="shared" si="90"/>
        <v>0</v>
      </c>
      <c r="AZ152" s="393">
        <f t="shared" si="91"/>
        <v>0</v>
      </c>
      <c r="BA152" s="302"/>
      <c r="BB152" s="302"/>
      <c r="BC152" s="302"/>
      <c r="BD152" s="302"/>
      <c r="BE152" s="302"/>
      <c r="BF152" s="302"/>
      <c r="BG152" s="302"/>
      <c r="BH152" s="302"/>
      <c r="BI152" s="302"/>
      <c r="BJ152" s="302"/>
      <c r="BK152" s="302"/>
      <c r="BL152" s="302"/>
      <c r="BM152" s="302"/>
      <c r="BN152" s="302"/>
      <c r="BO152" s="302"/>
      <c r="BP152" s="302"/>
      <c r="BQ152" s="302"/>
      <c r="BR152" s="302"/>
      <c r="BS152" s="302"/>
      <c r="BT152" s="302"/>
      <c r="BU152" s="302"/>
    </row>
    <row r="153" spans="1:73">
      <c r="A153" s="325"/>
      <c r="B153" s="394"/>
      <c r="C153" s="570" t="s">
        <v>556</v>
      </c>
      <c r="D153" s="572">
        <v>11.28</v>
      </c>
      <c r="E153" s="572">
        <v>9.3140000000000001</v>
      </c>
      <c r="F153" s="395">
        <f t="shared" si="77"/>
        <v>2</v>
      </c>
      <c r="G153" s="382">
        <v>1200</v>
      </c>
      <c r="H153" s="396">
        <f t="shared" si="92"/>
        <v>1713</v>
      </c>
      <c r="I153" s="396">
        <v>1713</v>
      </c>
      <c r="J153" s="397"/>
      <c r="K153" s="570">
        <v>225</v>
      </c>
      <c r="L153" s="399">
        <f t="shared" si="78"/>
        <v>2.2608000000000001</v>
      </c>
      <c r="M153" s="395">
        <f t="shared" si="79"/>
        <v>2.2628571428571429</v>
      </c>
      <c r="N153" s="400">
        <f t="shared" si="80"/>
        <v>2.2628571428571429</v>
      </c>
      <c r="O153" s="365"/>
      <c r="P153" s="401">
        <f t="shared" si="93"/>
        <v>0</v>
      </c>
      <c r="Q153" s="302"/>
      <c r="R153" s="302"/>
      <c r="S153" s="302"/>
      <c r="T153" s="302"/>
      <c r="U153" s="302"/>
      <c r="V153" s="302"/>
      <c r="W153" s="302"/>
      <c r="X153" s="302"/>
      <c r="Y153" s="302"/>
      <c r="Z153" s="302"/>
      <c r="AA153" s="302"/>
      <c r="AB153" s="302"/>
      <c r="AC153" s="302"/>
      <c r="AD153" s="302"/>
      <c r="AE153" s="302"/>
      <c r="AF153" s="302"/>
      <c r="AG153" s="391">
        <v>0</v>
      </c>
      <c r="AH153" s="392">
        <v>0</v>
      </c>
      <c r="AI153" s="392">
        <v>0</v>
      </c>
      <c r="AJ153" s="392">
        <v>0</v>
      </c>
      <c r="AK153" s="392">
        <v>0</v>
      </c>
      <c r="AL153" s="392">
        <v>0</v>
      </c>
      <c r="AM153" s="392">
        <v>0</v>
      </c>
      <c r="AN153" s="392">
        <v>0</v>
      </c>
      <c r="AO153" s="392">
        <v>0</v>
      </c>
      <c r="AP153" s="393">
        <v>0</v>
      </c>
      <c r="AQ153" s="391">
        <f t="shared" si="82"/>
        <v>0</v>
      </c>
      <c r="AR153" s="392">
        <f t="shared" si="83"/>
        <v>0</v>
      </c>
      <c r="AS153" s="392">
        <f t="shared" si="84"/>
        <v>0</v>
      </c>
      <c r="AT153" s="392">
        <f t="shared" si="85"/>
        <v>0</v>
      </c>
      <c r="AU153" s="392">
        <f t="shared" si="86"/>
        <v>0</v>
      </c>
      <c r="AV153" s="392">
        <f t="shared" si="87"/>
        <v>0</v>
      </c>
      <c r="AW153" s="392">
        <f t="shared" si="88"/>
        <v>0</v>
      </c>
      <c r="AX153" s="392">
        <f t="shared" si="89"/>
        <v>0</v>
      </c>
      <c r="AY153" s="392">
        <f t="shared" si="90"/>
        <v>0</v>
      </c>
      <c r="AZ153" s="393">
        <f t="shared" si="91"/>
        <v>0</v>
      </c>
      <c r="BA153" s="302"/>
      <c r="BB153" s="302"/>
      <c r="BC153" s="302"/>
      <c r="BD153" s="302"/>
      <c r="BE153" s="302"/>
      <c r="BF153" s="302"/>
      <c r="BG153" s="302"/>
      <c r="BH153" s="302"/>
      <c r="BI153" s="302"/>
      <c r="BJ153" s="302"/>
      <c r="BK153" s="302"/>
      <c r="BL153" s="302"/>
      <c r="BM153" s="302"/>
      <c r="BN153" s="302"/>
      <c r="BO153" s="302"/>
      <c r="BP153" s="302"/>
      <c r="BQ153" s="302"/>
      <c r="BR153" s="302"/>
      <c r="BS153" s="302"/>
      <c r="BT153" s="302"/>
      <c r="BU153" s="302"/>
    </row>
    <row r="154" spans="1:73">
      <c r="A154" s="325"/>
      <c r="B154" s="394"/>
      <c r="C154" s="570" t="s">
        <v>555</v>
      </c>
      <c r="D154" s="572">
        <v>11.15</v>
      </c>
      <c r="E154" s="572">
        <v>9.1720000000000006</v>
      </c>
      <c r="F154" s="395">
        <f t="shared" ref="F154:F187" si="94">CEILING(D154-E154,0.25)</f>
        <v>2</v>
      </c>
      <c r="G154" s="382">
        <v>1200</v>
      </c>
      <c r="H154" s="396">
        <f t="shared" si="92"/>
        <v>1714</v>
      </c>
      <c r="I154" s="396">
        <v>1714</v>
      </c>
      <c r="J154" s="397"/>
      <c r="K154" s="570">
        <v>300</v>
      </c>
      <c r="L154" s="399">
        <f t="shared" ref="L154:L187" si="95">(G154/1000/2*G154/1000/2*3.14)*F154</f>
        <v>2.2608000000000001</v>
      </c>
      <c r="M154" s="395">
        <f t="shared" ref="M154:M187" si="96">22/7*(G154/2/1000)*(G154/2/1000)*F154</f>
        <v>2.2628571428571429</v>
      </c>
      <c r="N154" s="400">
        <f t="shared" ref="N154:N187" si="97">IF(G154&gt;0,(22/7*(1200/2/1000)*(1200/2/1000)*2),0)</f>
        <v>2.2628571428571429</v>
      </c>
      <c r="O154" s="365"/>
      <c r="P154" s="401">
        <f t="shared" si="93"/>
        <v>0</v>
      </c>
      <c r="Q154" s="302"/>
      <c r="R154" s="302"/>
      <c r="S154" s="302"/>
      <c r="T154" s="302"/>
      <c r="U154" s="302"/>
      <c r="V154" s="302"/>
      <c r="W154" s="302"/>
      <c r="X154" s="302"/>
      <c r="Y154" s="302"/>
      <c r="Z154" s="302"/>
      <c r="AA154" s="302"/>
      <c r="AB154" s="302"/>
      <c r="AC154" s="302"/>
      <c r="AD154" s="302"/>
      <c r="AE154" s="302"/>
      <c r="AF154" s="302"/>
      <c r="AG154" s="391">
        <v>0</v>
      </c>
      <c r="AH154" s="392">
        <v>0</v>
      </c>
      <c r="AI154" s="392">
        <v>0</v>
      </c>
      <c r="AJ154" s="392">
        <v>0</v>
      </c>
      <c r="AK154" s="392">
        <v>6925</v>
      </c>
      <c r="AL154" s="392">
        <v>8060</v>
      </c>
      <c r="AM154" s="392">
        <v>9950</v>
      </c>
      <c r="AN154" s="392">
        <v>12265.203099319089</v>
      </c>
      <c r="AO154" s="392">
        <v>13315</v>
      </c>
      <c r="AP154" s="393">
        <v>0</v>
      </c>
      <c r="AQ154" s="391">
        <f t="shared" ref="AQ154:AQ187" si="98">IF($G154=$AG$118,AG154,0)</f>
        <v>0</v>
      </c>
      <c r="AR154" s="392">
        <f t="shared" ref="AR154:AR187" si="99">IF($G154=$AH$118,AH154,0)</f>
        <v>0</v>
      </c>
      <c r="AS154" s="392">
        <f t="shared" ref="AS154:AS187" si="100">IF($G154=$AI$118,AI154,0)</f>
        <v>0</v>
      </c>
      <c r="AT154" s="392">
        <f t="shared" ref="AT154:AT187" si="101">IF($G154=$AJ$118,AJ154,0)</f>
        <v>0</v>
      </c>
      <c r="AU154" s="392">
        <f t="shared" ref="AU154:AU187" si="102">IF($G154=$AK$118,AK154,0)</f>
        <v>0</v>
      </c>
      <c r="AV154" s="392">
        <f t="shared" ref="AV154:AV187" si="103">IF($G154=$AL$118,AL154,0)</f>
        <v>0</v>
      </c>
      <c r="AW154" s="392">
        <f t="shared" ref="AW154:AW187" si="104">IF($G154=$AM$118,AM154,0)</f>
        <v>0</v>
      </c>
      <c r="AX154" s="392">
        <f t="shared" ref="AX154:AX187" si="105">IF($G154=$AN$118,AN154,0)</f>
        <v>0</v>
      </c>
      <c r="AY154" s="392">
        <f t="shared" ref="AY154:AY187" si="106">IF($G154=$AO$118,AO154,0)</f>
        <v>0</v>
      </c>
      <c r="AZ154" s="393">
        <f t="shared" ref="AZ154:AZ187" si="107">IF($G154=$AP$118,AP154,0)</f>
        <v>0</v>
      </c>
      <c r="BA154" s="302"/>
      <c r="BB154" s="302"/>
      <c r="BC154" s="302"/>
      <c r="BD154" s="302"/>
      <c r="BE154" s="302"/>
      <c r="BF154" s="302"/>
      <c r="BG154" s="302"/>
      <c r="BH154" s="302"/>
      <c r="BI154" s="302"/>
      <c r="BJ154" s="302"/>
      <c r="BK154" s="302"/>
      <c r="BL154" s="302"/>
      <c r="BM154" s="302"/>
      <c r="BN154" s="302"/>
      <c r="BO154" s="302"/>
      <c r="BP154" s="302"/>
      <c r="BQ154" s="302"/>
      <c r="BR154" s="302"/>
      <c r="BS154" s="302"/>
      <c r="BT154" s="302"/>
      <c r="BU154" s="302"/>
    </row>
    <row r="155" spans="1:73">
      <c r="A155" s="325"/>
      <c r="B155" s="394"/>
      <c r="C155" s="570"/>
      <c r="D155" s="572"/>
      <c r="E155" s="572"/>
      <c r="F155" s="395">
        <f t="shared" si="94"/>
        <v>0</v>
      </c>
      <c r="G155" s="382"/>
      <c r="H155" s="396">
        <f t="shared" si="92"/>
        <v>1715</v>
      </c>
      <c r="I155" s="396">
        <v>1715</v>
      </c>
      <c r="J155" s="397"/>
      <c r="K155" s="570"/>
      <c r="L155" s="399">
        <f t="shared" si="95"/>
        <v>0</v>
      </c>
      <c r="M155" s="395">
        <f t="shared" si="96"/>
        <v>0</v>
      </c>
      <c r="N155" s="400">
        <f t="shared" si="97"/>
        <v>0</v>
      </c>
      <c r="O155" s="365"/>
      <c r="P155" s="401">
        <f t="shared" si="93"/>
        <v>0</v>
      </c>
      <c r="Q155" s="302"/>
      <c r="R155" s="302"/>
      <c r="S155" s="302"/>
      <c r="T155" s="302"/>
      <c r="U155" s="302"/>
      <c r="V155" s="302"/>
      <c r="W155" s="302"/>
      <c r="X155" s="302"/>
      <c r="Y155" s="302"/>
      <c r="Z155" s="302"/>
      <c r="AA155" s="302"/>
      <c r="AB155" s="302"/>
      <c r="AC155" s="302"/>
      <c r="AD155" s="302"/>
      <c r="AE155" s="302"/>
      <c r="AF155" s="302"/>
      <c r="AG155" s="391">
        <v>0</v>
      </c>
      <c r="AH155" s="392">
        <v>0</v>
      </c>
      <c r="AI155" s="392">
        <v>0</v>
      </c>
      <c r="AJ155" s="392">
        <v>0</v>
      </c>
      <c r="AK155" s="392">
        <v>6925</v>
      </c>
      <c r="AL155" s="392">
        <v>8060</v>
      </c>
      <c r="AM155" s="392">
        <v>9950</v>
      </c>
      <c r="AN155" s="392">
        <v>12265.203099319089</v>
      </c>
      <c r="AO155" s="392">
        <v>13315</v>
      </c>
      <c r="AP155" s="393">
        <v>0</v>
      </c>
      <c r="AQ155" s="391">
        <f t="shared" si="98"/>
        <v>0</v>
      </c>
      <c r="AR155" s="392">
        <f t="shared" si="99"/>
        <v>0</v>
      </c>
      <c r="AS155" s="392">
        <f t="shared" si="100"/>
        <v>0</v>
      </c>
      <c r="AT155" s="392">
        <f t="shared" si="101"/>
        <v>0</v>
      </c>
      <c r="AU155" s="392">
        <f t="shared" si="102"/>
        <v>0</v>
      </c>
      <c r="AV155" s="392">
        <f t="shared" si="103"/>
        <v>0</v>
      </c>
      <c r="AW155" s="392">
        <f t="shared" si="104"/>
        <v>0</v>
      </c>
      <c r="AX155" s="392">
        <f t="shared" si="105"/>
        <v>0</v>
      </c>
      <c r="AY155" s="392">
        <f t="shared" si="106"/>
        <v>0</v>
      </c>
      <c r="AZ155" s="393">
        <f t="shared" si="107"/>
        <v>0</v>
      </c>
      <c r="BA155" s="302"/>
      <c r="BB155" s="302"/>
      <c r="BC155" s="302"/>
      <c r="BD155" s="302"/>
      <c r="BE155" s="302"/>
      <c r="BF155" s="302"/>
      <c r="BG155" s="302"/>
      <c r="BH155" s="302"/>
      <c r="BI155" s="302"/>
      <c r="BJ155" s="302"/>
      <c r="BK155" s="302"/>
      <c r="BL155" s="302"/>
      <c r="BM155" s="302"/>
      <c r="BN155" s="302"/>
      <c r="BO155" s="302"/>
      <c r="BP155" s="302"/>
      <c r="BQ155" s="302"/>
      <c r="BR155" s="302"/>
      <c r="BS155" s="302"/>
      <c r="BT155" s="302"/>
      <c r="BU155" s="302"/>
    </row>
    <row r="156" spans="1:73">
      <c r="A156" s="325"/>
      <c r="B156" s="394"/>
      <c r="C156" s="570" t="s">
        <v>554</v>
      </c>
      <c r="D156" s="572">
        <v>11.2</v>
      </c>
      <c r="E156" s="572">
        <v>8.8789999999999996</v>
      </c>
      <c r="F156" s="395">
        <f t="shared" si="94"/>
        <v>2.5</v>
      </c>
      <c r="G156" s="382">
        <v>1800</v>
      </c>
      <c r="H156" s="396">
        <f t="shared" si="92"/>
        <v>7480</v>
      </c>
      <c r="I156" s="396">
        <v>1716</v>
      </c>
      <c r="J156" s="397"/>
      <c r="K156" s="570">
        <v>525</v>
      </c>
      <c r="L156" s="399">
        <f t="shared" si="95"/>
        <v>6.3585000000000003</v>
      </c>
      <c r="M156" s="395">
        <f t="shared" si="96"/>
        <v>6.3642857142857148</v>
      </c>
      <c r="N156" s="400">
        <f t="shared" si="97"/>
        <v>2.2628571428571429</v>
      </c>
      <c r="O156" s="365"/>
      <c r="P156" s="401">
        <f t="shared" si="93"/>
        <v>0</v>
      </c>
      <c r="Q156" s="302"/>
      <c r="R156" s="302"/>
      <c r="S156" s="302"/>
      <c r="T156" s="302"/>
      <c r="U156" s="302"/>
      <c r="V156" s="302"/>
      <c r="W156" s="302"/>
      <c r="X156" s="302"/>
      <c r="Y156" s="302"/>
      <c r="Z156" s="302"/>
      <c r="AA156" s="302"/>
      <c r="AB156" s="302"/>
      <c r="AC156" s="302"/>
      <c r="AD156" s="302"/>
      <c r="AE156" s="302"/>
      <c r="AF156" s="302"/>
      <c r="AG156" s="391">
        <v>0</v>
      </c>
      <c r="AH156" s="392">
        <v>0</v>
      </c>
      <c r="AI156" s="392">
        <v>5550</v>
      </c>
      <c r="AJ156" s="392">
        <v>6662</v>
      </c>
      <c r="AK156" s="392">
        <v>6525</v>
      </c>
      <c r="AL156" s="392">
        <v>7480</v>
      </c>
      <c r="AM156" s="392">
        <v>9234</v>
      </c>
      <c r="AN156" s="392">
        <v>11382.601549659545</v>
      </c>
      <c r="AO156" s="392">
        <v>12015</v>
      </c>
      <c r="AP156" s="393">
        <v>13015</v>
      </c>
      <c r="AQ156" s="391">
        <f t="shared" si="98"/>
        <v>0</v>
      </c>
      <c r="AR156" s="392">
        <f t="shared" si="99"/>
        <v>0</v>
      </c>
      <c r="AS156" s="392">
        <f t="shared" si="100"/>
        <v>0</v>
      </c>
      <c r="AT156" s="392">
        <f t="shared" si="101"/>
        <v>0</v>
      </c>
      <c r="AU156" s="392">
        <f t="shared" si="102"/>
        <v>0</v>
      </c>
      <c r="AV156" s="392">
        <f t="shared" si="103"/>
        <v>7480</v>
      </c>
      <c r="AW156" s="392">
        <f t="shared" si="104"/>
        <v>0</v>
      </c>
      <c r="AX156" s="392">
        <f t="shared" si="105"/>
        <v>0</v>
      </c>
      <c r="AY156" s="392">
        <f t="shared" si="106"/>
        <v>0</v>
      </c>
      <c r="AZ156" s="393">
        <f t="shared" si="107"/>
        <v>0</v>
      </c>
      <c r="BA156" s="302"/>
      <c r="BB156" s="302"/>
      <c r="BC156" s="302"/>
      <c r="BD156" s="302"/>
      <c r="BE156" s="302"/>
      <c r="BF156" s="302"/>
      <c r="BG156" s="302"/>
      <c r="BH156" s="302"/>
      <c r="BI156" s="302"/>
      <c r="BJ156" s="302"/>
      <c r="BK156" s="302"/>
      <c r="BL156" s="302"/>
      <c r="BM156" s="302"/>
      <c r="BN156" s="302"/>
      <c r="BO156" s="302"/>
      <c r="BP156" s="302"/>
      <c r="BQ156" s="302"/>
      <c r="BR156" s="302"/>
      <c r="BS156" s="302"/>
      <c r="BT156" s="302"/>
      <c r="BU156" s="302"/>
    </row>
    <row r="157" spans="1:73">
      <c r="A157" s="325"/>
      <c r="B157" s="394"/>
      <c r="C157" s="570" t="s">
        <v>553</v>
      </c>
      <c r="D157" s="572">
        <v>10.96</v>
      </c>
      <c r="E157" s="572">
        <v>8.8000000000000007</v>
      </c>
      <c r="F157" s="395">
        <f t="shared" si="94"/>
        <v>2.25</v>
      </c>
      <c r="G157" s="382">
        <v>1800</v>
      </c>
      <c r="H157" s="396">
        <f t="shared" si="92"/>
        <v>6320</v>
      </c>
      <c r="I157" s="396">
        <v>1717</v>
      </c>
      <c r="J157" s="397"/>
      <c r="K157" s="570">
        <v>525</v>
      </c>
      <c r="L157" s="399">
        <f t="shared" si="95"/>
        <v>5.7226499999999998</v>
      </c>
      <c r="M157" s="395">
        <f t="shared" si="96"/>
        <v>5.7278571428571432</v>
      </c>
      <c r="N157" s="400">
        <f t="shared" si="97"/>
        <v>2.2628571428571429</v>
      </c>
      <c r="O157" s="365"/>
      <c r="P157" s="401">
        <f t="shared" si="93"/>
        <v>0</v>
      </c>
      <c r="Q157" s="302"/>
      <c r="R157" s="302"/>
      <c r="S157" s="302"/>
      <c r="T157" s="302"/>
      <c r="U157" s="302"/>
      <c r="V157" s="302"/>
      <c r="W157" s="302"/>
      <c r="X157" s="302"/>
      <c r="Y157" s="302"/>
      <c r="Z157" s="302"/>
      <c r="AA157" s="302"/>
      <c r="AB157" s="302"/>
      <c r="AC157" s="302"/>
      <c r="AD157" s="302"/>
      <c r="AE157" s="302"/>
      <c r="AF157" s="302"/>
      <c r="AG157" s="391">
        <v>0</v>
      </c>
      <c r="AH157" s="392">
        <v>0</v>
      </c>
      <c r="AI157" s="392">
        <v>4575</v>
      </c>
      <c r="AJ157" s="392">
        <v>5090</v>
      </c>
      <c r="AK157" s="392">
        <v>5725</v>
      </c>
      <c r="AL157" s="392">
        <v>6320</v>
      </c>
      <c r="AM157" s="392">
        <v>7750</v>
      </c>
      <c r="AN157" s="392">
        <v>8945</v>
      </c>
      <c r="AO157" s="392">
        <v>9415</v>
      </c>
      <c r="AP157" s="393">
        <v>10415</v>
      </c>
      <c r="AQ157" s="391">
        <f t="shared" si="98"/>
        <v>0</v>
      </c>
      <c r="AR157" s="392">
        <f t="shared" si="99"/>
        <v>0</v>
      </c>
      <c r="AS157" s="392">
        <f t="shared" si="100"/>
        <v>0</v>
      </c>
      <c r="AT157" s="392">
        <f t="shared" si="101"/>
        <v>0</v>
      </c>
      <c r="AU157" s="392">
        <f t="shared" si="102"/>
        <v>0</v>
      </c>
      <c r="AV157" s="392">
        <f t="shared" si="103"/>
        <v>6320</v>
      </c>
      <c r="AW157" s="392">
        <f t="shared" si="104"/>
        <v>0</v>
      </c>
      <c r="AX157" s="392">
        <f t="shared" si="105"/>
        <v>0</v>
      </c>
      <c r="AY157" s="392">
        <f t="shared" si="106"/>
        <v>0</v>
      </c>
      <c r="AZ157" s="393">
        <f t="shared" si="107"/>
        <v>0</v>
      </c>
      <c r="BA157" s="302"/>
      <c r="BB157" s="302"/>
      <c r="BC157" s="302"/>
      <c r="BD157" s="302"/>
      <c r="BE157" s="302"/>
      <c r="BF157" s="302"/>
      <c r="BG157" s="302"/>
      <c r="BH157" s="302"/>
      <c r="BI157" s="302"/>
      <c r="BJ157" s="302"/>
      <c r="BK157" s="302"/>
      <c r="BL157" s="302"/>
      <c r="BM157" s="302"/>
      <c r="BN157" s="302"/>
      <c r="BO157" s="302"/>
      <c r="BP157" s="302"/>
      <c r="BQ157" s="302"/>
      <c r="BR157" s="302"/>
      <c r="BS157" s="302"/>
      <c r="BT157" s="302"/>
      <c r="BU157" s="302"/>
    </row>
    <row r="158" spans="1:73">
      <c r="A158" s="325"/>
      <c r="B158" s="394"/>
      <c r="C158" s="570" t="s">
        <v>552</v>
      </c>
      <c r="D158" s="572">
        <v>10.76</v>
      </c>
      <c r="E158" s="572">
        <v>8.718</v>
      </c>
      <c r="F158" s="395">
        <f t="shared" si="94"/>
        <v>2.25</v>
      </c>
      <c r="G158" s="382">
        <v>1800</v>
      </c>
      <c r="H158" s="396">
        <f t="shared" si="92"/>
        <v>4440</v>
      </c>
      <c r="I158" s="396">
        <v>1718</v>
      </c>
      <c r="J158" s="397"/>
      <c r="K158" s="570">
        <v>525</v>
      </c>
      <c r="L158" s="399">
        <f t="shared" si="95"/>
        <v>5.7226499999999998</v>
      </c>
      <c r="M158" s="395">
        <f t="shared" si="96"/>
        <v>5.7278571428571432</v>
      </c>
      <c r="N158" s="400">
        <f t="shared" si="97"/>
        <v>2.2628571428571429</v>
      </c>
      <c r="O158" s="365"/>
      <c r="P158" s="401">
        <f t="shared" si="93"/>
        <v>0</v>
      </c>
      <c r="Q158" s="302"/>
      <c r="R158" s="302"/>
      <c r="S158" s="302"/>
      <c r="T158" s="302"/>
      <c r="U158" s="302"/>
      <c r="V158" s="302"/>
      <c r="W158" s="302"/>
      <c r="X158" s="302"/>
      <c r="Y158" s="302"/>
      <c r="Z158" s="302"/>
      <c r="AA158" s="302"/>
      <c r="AB158" s="302"/>
      <c r="AC158" s="302"/>
      <c r="AD158" s="302"/>
      <c r="AE158" s="302"/>
      <c r="AF158" s="302"/>
      <c r="AG158" s="391">
        <v>0</v>
      </c>
      <c r="AH158" s="392">
        <v>0</v>
      </c>
      <c r="AI158" s="392">
        <v>3890</v>
      </c>
      <c r="AJ158" s="392">
        <v>4345</v>
      </c>
      <c r="AK158" s="392">
        <v>4940</v>
      </c>
      <c r="AL158" s="392">
        <v>4440</v>
      </c>
      <c r="AM158" s="392">
        <v>5403</v>
      </c>
      <c r="AN158" s="392">
        <v>6956</v>
      </c>
      <c r="AO158" s="392">
        <v>8300</v>
      </c>
      <c r="AP158" s="393">
        <v>9030</v>
      </c>
      <c r="AQ158" s="391">
        <f t="shared" si="98"/>
        <v>0</v>
      </c>
      <c r="AR158" s="392">
        <f t="shared" si="99"/>
        <v>0</v>
      </c>
      <c r="AS158" s="392">
        <f t="shared" si="100"/>
        <v>0</v>
      </c>
      <c r="AT158" s="392">
        <f t="shared" si="101"/>
        <v>0</v>
      </c>
      <c r="AU158" s="392">
        <f t="shared" si="102"/>
        <v>0</v>
      </c>
      <c r="AV158" s="392">
        <f t="shared" si="103"/>
        <v>4440</v>
      </c>
      <c r="AW158" s="392">
        <f t="shared" si="104"/>
        <v>0</v>
      </c>
      <c r="AX158" s="392">
        <f t="shared" si="105"/>
        <v>0</v>
      </c>
      <c r="AY158" s="392">
        <f t="shared" si="106"/>
        <v>0</v>
      </c>
      <c r="AZ158" s="393">
        <f t="shared" si="107"/>
        <v>0</v>
      </c>
      <c r="BA158" s="302"/>
      <c r="BB158" s="302"/>
      <c r="BC158" s="302"/>
      <c r="BD158" s="302"/>
      <c r="BE158" s="302"/>
      <c r="BF158" s="302"/>
      <c r="BG158" s="302"/>
      <c r="BH158" s="302"/>
      <c r="BI158" s="302"/>
      <c r="BJ158" s="302"/>
      <c r="BK158" s="302"/>
      <c r="BL158" s="302"/>
      <c r="BM158" s="302"/>
      <c r="BN158" s="302"/>
      <c r="BO158" s="302"/>
      <c r="BP158" s="302"/>
      <c r="BQ158" s="302"/>
      <c r="BR158" s="302"/>
      <c r="BS158" s="302"/>
      <c r="BT158" s="302"/>
      <c r="BU158" s="302"/>
    </row>
    <row r="159" spans="1:73">
      <c r="A159" s="325"/>
      <c r="B159" s="394"/>
      <c r="C159" s="570"/>
      <c r="D159" s="572"/>
      <c r="E159" s="572"/>
      <c r="F159" s="395">
        <f t="shared" si="94"/>
        <v>0</v>
      </c>
      <c r="G159" s="382"/>
      <c r="H159" s="396">
        <f t="shared" si="92"/>
        <v>1719</v>
      </c>
      <c r="I159" s="396">
        <v>1719</v>
      </c>
      <c r="J159" s="397"/>
      <c r="K159" s="570"/>
      <c r="L159" s="399">
        <f t="shared" si="95"/>
        <v>0</v>
      </c>
      <c r="M159" s="395">
        <f t="shared" si="96"/>
        <v>0</v>
      </c>
      <c r="N159" s="400">
        <f t="shared" si="97"/>
        <v>0</v>
      </c>
      <c r="O159" s="365"/>
      <c r="P159" s="401">
        <f t="shared" si="93"/>
        <v>0</v>
      </c>
      <c r="Q159" s="302"/>
      <c r="R159" s="302"/>
      <c r="S159" s="302"/>
      <c r="T159" s="302"/>
      <c r="U159" s="302"/>
      <c r="V159" s="302"/>
      <c r="W159" s="302"/>
      <c r="X159" s="302"/>
      <c r="Y159" s="302"/>
      <c r="Z159" s="302"/>
      <c r="AA159" s="302"/>
      <c r="AB159" s="302"/>
      <c r="AC159" s="302"/>
      <c r="AD159" s="302"/>
      <c r="AE159" s="302"/>
      <c r="AF159" s="302"/>
      <c r="AG159" s="391">
        <v>0</v>
      </c>
      <c r="AH159" s="392">
        <v>0</v>
      </c>
      <c r="AI159" s="392">
        <v>2370</v>
      </c>
      <c r="AJ159" s="392">
        <v>2590</v>
      </c>
      <c r="AK159" s="392">
        <v>3370</v>
      </c>
      <c r="AL159" s="392">
        <v>4168</v>
      </c>
      <c r="AM159" s="392">
        <v>5072</v>
      </c>
      <c r="AN159" s="392">
        <v>6409</v>
      </c>
      <c r="AO159" s="392">
        <v>7770</v>
      </c>
      <c r="AP159" s="393">
        <v>10436</v>
      </c>
      <c r="AQ159" s="391">
        <f t="shared" si="98"/>
        <v>0</v>
      </c>
      <c r="AR159" s="392">
        <f t="shared" si="99"/>
        <v>0</v>
      </c>
      <c r="AS159" s="392">
        <f t="shared" si="100"/>
        <v>0</v>
      </c>
      <c r="AT159" s="392">
        <f t="shared" si="101"/>
        <v>0</v>
      </c>
      <c r="AU159" s="392">
        <f t="shared" si="102"/>
        <v>0</v>
      </c>
      <c r="AV159" s="392">
        <f t="shared" si="103"/>
        <v>0</v>
      </c>
      <c r="AW159" s="392">
        <f t="shared" si="104"/>
        <v>0</v>
      </c>
      <c r="AX159" s="392">
        <f t="shared" si="105"/>
        <v>0</v>
      </c>
      <c r="AY159" s="392">
        <f t="shared" si="106"/>
        <v>0</v>
      </c>
      <c r="AZ159" s="393">
        <f t="shared" si="107"/>
        <v>0</v>
      </c>
      <c r="BA159" s="302"/>
      <c r="BB159" s="302"/>
      <c r="BC159" s="302"/>
      <c r="BD159" s="302"/>
      <c r="BE159" s="302"/>
      <c r="BF159" s="302"/>
      <c r="BG159" s="302"/>
      <c r="BH159" s="302"/>
      <c r="BI159" s="302"/>
      <c r="BJ159" s="302"/>
      <c r="BK159" s="302"/>
      <c r="BL159" s="302"/>
      <c r="BM159" s="302"/>
      <c r="BN159" s="302"/>
      <c r="BO159" s="302"/>
      <c r="BP159" s="302"/>
      <c r="BQ159" s="302"/>
      <c r="BR159" s="302"/>
      <c r="BS159" s="302"/>
      <c r="BT159" s="302"/>
      <c r="BU159" s="302"/>
    </row>
    <row r="160" spans="1:73">
      <c r="A160" s="325"/>
      <c r="B160" s="394">
        <v>1</v>
      </c>
      <c r="C160" s="570" t="s">
        <v>551</v>
      </c>
      <c r="D160" s="572">
        <v>10.65</v>
      </c>
      <c r="E160" s="572">
        <v>9.0540000000000003</v>
      </c>
      <c r="F160" s="395">
        <f t="shared" si="94"/>
        <v>1.75</v>
      </c>
      <c r="G160" s="382">
        <v>1200</v>
      </c>
      <c r="H160" s="396">
        <f t="shared" si="92"/>
        <v>2060</v>
      </c>
      <c r="I160" s="396">
        <v>1720</v>
      </c>
      <c r="J160" s="397"/>
      <c r="K160" s="570">
        <v>225</v>
      </c>
      <c r="L160" s="399">
        <f t="shared" si="95"/>
        <v>1.9782000000000002</v>
      </c>
      <c r="M160" s="395">
        <f t="shared" si="96"/>
        <v>1.98</v>
      </c>
      <c r="N160" s="400">
        <f t="shared" si="97"/>
        <v>2.2628571428571429</v>
      </c>
      <c r="O160" s="365"/>
      <c r="P160" s="401">
        <f t="shared" si="93"/>
        <v>0</v>
      </c>
      <c r="Q160" s="302"/>
      <c r="R160" s="302"/>
      <c r="S160" s="302"/>
      <c r="T160" s="302"/>
      <c r="U160" s="302"/>
      <c r="V160" s="302"/>
      <c r="W160" s="302"/>
      <c r="X160" s="302"/>
      <c r="Y160" s="302"/>
      <c r="Z160" s="302"/>
      <c r="AA160" s="302"/>
      <c r="AB160" s="302"/>
      <c r="AC160" s="302"/>
      <c r="AD160" s="302"/>
      <c r="AE160" s="302"/>
      <c r="AF160" s="302"/>
      <c r="AG160" s="391">
        <v>0</v>
      </c>
      <c r="AH160" s="392">
        <v>0</v>
      </c>
      <c r="AI160" s="392">
        <v>2060</v>
      </c>
      <c r="AJ160" s="392">
        <v>2390</v>
      </c>
      <c r="AK160" s="392">
        <v>2890</v>
      </c>
      <c r="AL160" s="392">
        <v>3385</v>
      </c>
      <c r="AM160" s="392">
        <v>4120</v>
      </c>
      <c r="AN160" s="392">
        <v>6101</v>
      </c>
      <c r="AO160" s="392">
        <v>6820</v>
      </c>
      <c r="AP160" s="393">
        <v>9160</v>
      </c>
      <c r="AQ160" s="391">
        <f t="shared" si="98"/>
        <v>0</v>
      </c>
      <c r="AR160" s="392">
        <f t="shared" si="99"/>
        <v>0</v>
      </c>
      <c r="AS160" s="392">
        <f t="shared" si="100"/>
        <v>2060</v>
      </c>
      <c r="AT160" s="392">
        <f t="shared" si="101"/>
        <v>0</v>
      </c>
      <c r="AU160" s="392">
        <f t="shared" si="102"/>
        <v>0</v>
      </c>
      <c r="AV160" s="392">
        <f t="shared" si="103"/>
        <v>0</v>
      </c>
      <c r="AW160" s="392">
        <f t="shared" si="104"/>
        <v>0</v>
      </c>
      <c r="AX160" s="392">
        <f t="shared" si="105"/>
        <v>0</v>
      </c>
      <c r="AY160" s="392">
        <f t="shared" si="106"/>
        <v>0</v>
      </c>
      <c r="AZ160" s="393">
        <f t="shared" si="107"/>
        <v>0</v>
      </c>
      <c r="BA160" s="302"/>
      <c r="BB160" s="302"/>
      <c r="BC160" s="302"/>
      <c r="BD160" s="302"/>
      <c r="BE160" s="302"/>
      <c r="BF160" s="302"/>
      <c r="BG160" s="302"/>
      <c r="BH160" s="302"/>
      <c r="BI160" s="302"/>
      <c r="BJ160" s="302"/>
      <c r="BK160" s="302"/>
      <c r="BL160" s="302"/>
      <c r="BM160" s="302"/>
      <c r="BN160" s="302"/>
      <c r="BO160" s="302"/>
      <c r="BP160" s="302"/>
      <c r="BQ160" s="302"/>
      <c r="BR160" s="302"/>
      <c r="BS160" s="302"/>
      <c r="BT160" s="302"/>
      <c r="BU160" s="302"/>
    </row>
    <row r="161" spans="1:73" s="416" customFormat="1">
      <c r="A161" s="402"/>
      <c r="B161" s="403"/>
      <c r="C161" s="570"/>
      <c r="D161" s="572"/>
      <c r="E161" s="572"/>
      <c r="F161" s="404">
        <f t="shared" si="94"/>
        <v>0</v>
      </c>
      <c r="G161" s="382"/>
      <c r="H161" s="396">
        <f t="shared" si="92"/>
        <v>1721</v>
      </c>
      <c r="I161" s="396">
        <v>1721</v>
      </c>
      <c r="J161" s="406"/>
      <c r="K161" s="570"/>
      <c r="L161" s="407">
        <f t="shared" si="95"/>
        <v>0</v>
      </c>
      <c r="M161" s="404">
        <f t="shared" si="96"/>
        <v>0</v>
      </c>
      <c r="N161" s="408">
        <f t="shared" si="97"/>
        <v>0</v>
      </c>
      <c r="O161" s="409"/>
      <c r="P161" s="410">
        <f t="shared" si="93"/>
        <v>0</v>
      </c>
      <c r="Q161" s="411"/>
      <c r="R161" s="411"/>
      <c r="S161" s="411"/>
      <c r="T161" s="412"/>
      <c r="U161" s="412"/>
      <c r="V161" s="412"/>
      <c r="W161" s="412"/>
      <c r="X161" s="412"/>
      <c r="Y161" s="412"/>
      <c r="Z161" s="412"/>
      <c r="AA161" s="412"/>
      <c r="AB161" s="412"/>
      <c r="AC161" s="412"/>
      <c r="AD161" s="412"/>
      <c r="AE161" s="412"/>
      <c r="AF161" s="412"/>
      <c r="AG161" s="413">
        <v>0</v>
      </c>
      <c r="AH161" s="414">
        <v>0</v>
      </c>
      <c r="AI161" s="414">
        <v>0</v>
      </c>
      <c r="AJ161" s="414">
        <v>0</v>
      </c>
      <c r="AK161" s="414">
        <v>7075</v>
      </c>
      <c r="AL161" s="414">
        <v>8350</v>
      </c>
      <c r="AM161" s="414">
        <v>10308</v>
      </c>
      <c r="AN161" s="414">
        <v>12706.503874148862</v>
      </c>
      <c r="AO161" s="414">
        <v>13965</v>
      </c>
      <c r="AP161" s="415">
        <v>0</v>
      </c>
      <c r="AQ161" s="413">
        <f t="shared" si="98"/>
        <v>0</v>
      </c>
      <c r="AR161" s="414">
        <f t="shared" si="99"/>
        <v>0</v>
      </c>
      <c r="AS161" s="414">
        <f t="shared" si="100"/>
        <v>0</v>
      </c>
      <c r="AT161" s="414">
        <f t="shared" si="101"/>
        <v>0</v>
      </c>
      <c r="AU161" s="414">
        <f t="shared" si="102"/>
        <v>0</v>
      </c>
      <c r="AV161" s="414">
        <f t="shared" si="103"/>
        <v>0</v>
      </c>
      <c r="AW161" s="414">
        <f t="shared" si="104"/>
        <v>0</v>
      </c>
      <c r="AX161" s="414">
        <f t="shared" si="105"/>
        <v>0</v>
      </c>
      <c r="AY161" s="414">
        <f t="shared" si="106"/>
        <v>0</v>
      </c>
      <c r="AZ161" s="415">
        <f t="shared" si="107"/>
        <v>0</v>
      </c>
      <c r="BA161" s="412"/>
      <c r="BB161" s="412"/>
      <c r="BC161" s="412"/>
      <c r="BD161" s="412"/>
      <c r="BE161" s="412"/>
      <c r="BF161" s="412"/>
      <c r="BG161" s="412"/>
      <c r="BH161" s="412"/>
      <c r="BI161" s="412"/>
      <c r="BJ161" s="412"/>
      <c r="BK161" s="412"/>
      <c r="BL161" s="412"/>
      <c r="BM161" s="412"/>
      <c r="BN161" s="412"/>
      <c r="BO161" s="412"/>
      <c r="BP161" s="412"/>
      <c r="BQ161" s="412"/>
      <c r="BR161" s="412"/>
      <c r="BS161" s="412"/>
      <c r="BT161" s="412"/>
      <c r="BU161" s="412"/>
    </row>
    <row r="162" spans="1:73">
      <c r="A162" s="325"/>
      <c r="B162" s="394"/>
      <c r="C162" s="570" t="s">
        <v>550</v>
      </c>
      <c r="D162" s="572">
        <v>10.66</v>
      </c>
      <c r="E162" s="572">
        <v>8.3439999999999994</v>
      </c>
      <c r="F162" s="395">
        <f t="shared" si="94"/>
        <v>2.5</v>
      </c>
      <c r="G162" s="382">
        <v>1800</v>
      </c>
      <c r="H162" s="396">
        <f t="shared" si="92"/>
        <v>6900</v>
      </c>
      <c r="I162" s="396">
        <v>1722</v>
      </c>
      <c r="J162" s="397"/>
      <c r="K162" s="570">
        <v>600</v>
      </c>
      <c r="L162" s="399">
        <f t="shared" si="95"/>
        <v>6.3585000000000003</v>
      </c>
      <c r="M162" s="395">
        <f t="shared" si="96"/>
        <v>6.3642857142857148</v>
      </c>
      <c r="N162" s="400">
        <f t="shared" si="97"/>
        <v>2.2628571428571429</v>
      </c>
      <c r="O162" s="365"/>
      <c r="P162" s="401">
        <f t="shared" si="93"/>
        <v>0</v>
      </c>
      <c r="Q162" s="302"/>
      <c r="R162" s="302"/>
      <c r="S162" s="302"/>
      <c r="T162" s="302"/>
      <c r="U162" s="302"/>
      <c r="V162" s="302"/>
      <c r="W162" s="302"/>
      <c r="X162" s="302"/>
      <c r="Y162" s="302"/>
      <c r="Z162" s="302"/>
      <c r="AA162" s="302"/>
      <c r="AB162" s="302"/>
      <c r="AC162" s="302"/>
      <c r="AD162" s="302"/>
      <c r="AE162" s="302"/>
      <c r="AF162" s="302"/>
      <c r="AG162" s="391">
        <v>0</v>
      </c>
      <c r="AH162" s="392">
        <v>0</v>
      </c>
      <c r="AI162" s="392">
        <v>5065</v>
      </c>
      <c r="AJ162" s="392">
        <v>5690</v>
      </c>
      <c r="AK162" s="392">
        <v>6125</v>
      </c>
      <c r="AL162" s="392">
        <v>6900</v>
      </c>
      <c r="AM162" s="392">
        <v>8518</v>
      </c>
      <c r="AN162" s="392">
        <v>10500</v>
      </c>
      <c r="AO162" s="392">
        <v>10715</v>
      </c>
      <c r="AP162" s="393">
        <v>11715</v>
      </c>
      <c r="AQ162" s="391">
        <f t="shared" si="98"/>
        <v>0</v>
      </c>
      <c r="AR162" s="392">
        <f t="shared" si="99"/>
        <v>0</v>
      </c>
      <c r="AS162" s="392">
        <f t="shared" si="100"/>
        <v>0</v>
      </c>
      <c r="AT162" s="392">
        <f t="shared" si="101"/>
        <v>0</v>
      </c>
      <c r="AU162" s="392">
        <f t="shared" si="102"/>
        <v>0</v>
      </c>
      <c r="AV162" s="392">
        <f t="shared" si="103"/>
        <v>6900</v>
      </c>
      <c r="AW162" s="392">
        <f t="shared" si="104"/>
        <v>0</v>
      </c>
      <c r="AX162" s="392">
        <f t="shared" si="105"/>
        <v>0</v>
      </c>
      <c r="AY162" s="392">
        <f t="shared" si="106"/>
        <v>0</v>
      </c>
      <c r="AZ162" s="393">
        <f t="shared" si="107"/>
        <v>0</v>
      </c>
      <c r="BA162" s="302"/>
      <c r="BB162" s="302"/>
      <c r="BC162" s="302"/>
      <c r="BD162" s="302"/>
      <c r="BE162" s="302"/>
      <c r="BF162" s="302"/>
      <c r="BG162" s="302"/>
      <c r="BH162" s="302"/>
      <c r="BI162" s="302"/>
      <c r="BJ162" s="302"/>
      <c r="BK162" s="302"/>
      <c r="BL162" s="302"/>
      <c r="BM162" s="302"/>
      <c r="BN162" s="302"/>
      <c r="BO162" s="302"/>
      <c r="BP162" s="302"/>
      <c r="BQ162" s="302"/>
      <c r="BR162" s="302"/>
      <c r="BS162" s="302"/>
      <c r="BT162" s="302"/>
      <c r="BU162" s="302"/>
    </row>
    <row r="163" spans="1:73">
      <c r="A163" s="325"/>
      <c r="B163" s="394">
        <v>1</v>
      </c>
      <c r="C163" s="570" t="s">
        <v>549</v>
      </c>
      <c r="D163" s="572">
        <v>10.5</v>
      </c>
      <c r="E163" s="572">
        <v>8.5660000000000007</v>
      </c>
      <c r="F163" s="395">
        <f t="shared" si="94"/>
        <v>2</v>
      </c>
      <c r="G163" s="382">
        <v>1800</v>
      </c>
      <c r="H163" s="396">
        <f t="shared" si="92"/>
        <v>3385</v>
      </c>
      <c r="I163" s="396">
        <v>1723</v>
      </c>
      <c r="J163" s="397"/>
      <c r="K163" s="570">
        <v>600</v>
      </c>
      <c r="L163" s="399">
        <f t="shared" si="95"/>
        <v>5.0868000000000002</v>
      </c>
      <c r="M163" s="395">
        <f t="shared" si="96"/>
        <v>5.0914285714285716</v>
      </c>
      <c r="N163" s="400">
        <f t="shared" si="97"/>
        <v>2.2628571428571429</v>
      </c>
      <c r="O163" s="365"/>
      <c r="P163" s="401">
        <f t="shared" si="93"/>
        <v>0</v>
      </c>
      <c r="Q163" s="302"/>
      <c r="R163" s="302"/>
      <c r="S163" s="302"/>
      <c r="T163" s="302"/>
      <c r="U163" s="302"/>
      <c r="V163" s="302"/>
      <c r="W163" s="302"/>
      <c r="X163" s="302"/>
      <c r="Y163" s="302"/>
      <c r="Z163" s="302"/>
      <c r="AA163" s="302"/>
      <c r="AB163" s="302"/>
      <c r="AC163" s="302"/>
      <c r="AD163" s="302"/>
      <c r="AE163" s="302"/>
      <c r="AF163" s="302"/>
      <c r="AG163" s="391">
        <v>0</v>
      </c>
      <c r="AH163" s="392">
        <v>0</v>
      </c>
      <c r="AI163" s="392">
        <v>2060</v>
      </c>
      <c r="AJ163" s="392">
        <v>2390</v>
      </c>
      <c r="AK163" s="392">
        <v>2890</v>
      </c>
      <c r="AL163" s="392">
        <v>3385</v>
      </c>
      <c r="AM163" s="392">
        <v>4120</v>
      </c>
      <c r="AN163" s="392">
        <v>6101</v>
      </c>
      <c r="AO163" s="392">
        <v>6820</v>
      </c>
      <c r="AP163" s="393">
        <v>9160</v>
      </c>
      <c r="AQ163" s="391">
        <f t="shared" si="98"/>
        <v>0</v>
      </c>
      <c r="AR163" s="392">
        <f t="shared" si="99"/>
        <v>0</v>
      </c>
      <c r="AS163" s="392">
        <f t="shared" si="100"/>
        <v>0</v>
      </c>
      <c r="AT163" s="392">
        <f t="shared" si="101"/>
        <v>0</v>
      </c>
      <c r="AU163" s="392">
        <f t="shared" si="102"/>
        <v>0</v>
      </c>
      <c r="AV163" s="392">
        <f t="shared" si="103"/>
        <v>3385</v>
      </c>
      <c r="AW163" s="392">
        <f t="shared" si="104"/>
        <v>0</v>
      </c>
      <c r="AX163" s="392">
        <f t="shared" si="105"/>
        <v>0</v>
      </c>
      <c r="AY163" s="392">
        <f t="shared" si="106"/>
        <v>0</v>
      </c>
      <c r="AZ163" s="393">
        <f t="shared" si="107"/>
        <v>0</v>
      </c>
      <c r="BA163" s="302"/>
      <c r="BB163" s="302"/>
      <c r="BC163" s="302"/>
      <c r="BD163" s="302"/>
      <c r="BE163" s="302"/>
      <c r="BF163" s="302"/>
      <c r="BG163" s="302"/>
      <c r="BH163" s="302"/>
      <c r="BI163" s="302"/>
      <c r="BJ163" s="302"/>
      <c r="BK163" s="302"/>
      <c r="BL163" s="302"/>
      <c r="BM163" s="302"/>
      <c r="BN163" s="302"/>
      <c r="BO163" s="302"/>
      <c r="BP163" s="302"/>
      <c r="BQ163" s="302"/>
      <c r="BR163" s="302"/>
      <c r="BS163" s="302"/>
      <c r="BT163" s="302"/>
      <c r="BU163" s="302"/>
    </row>
    <row r="164" spans="1:73">
      <c r="A164" s="325"/>
      <c r="B164" s="394"/>
      <c r="C164" s="570" t="s">
        <v>548</v>
      </c>
      <c r="D164" s="572">
        <v>10.6</v>
      </c>
      <c r="E164" s="572">
        <v>8.5399999999999991</v>
      </c>
      <c r="F164" s="395">
        <f t="shared" si="94"/>
        <v>2.25</v>
      </c>
      <c r="G164" s="382">
        <v>1800</v>
      </c>
      <c r="H164" s="396">
        <f t="shared" si="92"/>
        <v>4440</v>
      </c>
      <c r="I164" s="396">
        <v>1724</v>
      </c>
      <c r="J164" s="397"/>
      <c r="K164" s="570">
        <v>600</v>
      </c>
      <c r="L164" s="399">
        <f t="shared" si="95"/>
        <v>5.7226499999999998</v>
      </c>
      <c r="M164" s="395">
        <f t="shared" si="96"/>
        <v>5.7278571428571432</v>
      </c>
      <c r="N164" s="400">
        <f t="shared" si="97"/>
        <v>2.2628571428571429</v>
      </c>
      <c r="O164" s="365"/>
      <c r="P164" s="401">
        <f t="shared" si="93"/>
        <v>0</v>
      </c>
      <c r="Q164" s="302"/>
      <c r="R164" s="302"/>
      <c r="S164" s="302"/>
      <c r="T164" s="302"/>
      <c r="U164" s="302"/>
      <c r="V164" s="302"/>
      <c r="W164" s="302"/>
      <c r="X164" s="302"/>
      <c r="Y164" s="302"/>
      <c r="Z164" s="302"/>
      <c r="AA164" s="302"/>
      <c r="AB164" s="302"/>
      <c r="AC164" s="302"/>
      <c r="AD164" s="302"/>
      <c r="AE164" s="302"/>
      <c r="AF164" s="302"/>
      <c r="AG164" s="391">
        <v>0</v>
      </c>
      <c r="AH164" s="392">
        <v>0</v>
      </c>
      <c r="AI164" s="392">
        <v>3890</v>
      </c>
      <c r="AJ164" s="392">
        <v>4345</v>
      </c>
      <c r="AK164" s="392">
        <v>4940</v>
      </c>
      <c r="AL164" s="392">
        <v>4440</v>
      </c>
      <c r="AM164" s="392">
        <v>5403</v>
      </c>
      <c r="AN164" s="392">
        <v>6956</v>
      </c>
      <c r="AO164" s="392">
        <v>8300</v>
      </c>
      <c r="AP164" s="393">
        <v>9030</v>
      </c>
      <c r="AQ164" s="391">
        <f t="shared" si="98"/>
        <v>0</v>
      </c>
      <c r="AR164" s="392">
        <f t="shared" si="99"/>
        <v>0</v>
      </c>
      <c r="AS164" s="392">
        <f t="shared" si="100"/>
        <v>0</v>
      </c>
      <c r="AT164" s="392">
        <f t="shared" si="101"/>
        <v>0</v>
      </c>
      <c r="AU164" s="392">
        <f t="shared" si="102"/>
        <v>0</v>
      </c>
      <c r="AV164" s="392">
        <f t="shared" si="103"/>
        <v>4440</v>
      </c>
      <c r="AW164" s="392">
        <f t="shared" si="104"/>
        <v>0</v>
      </c>
      <c r="AX164" s="392">
        <f t="shared" si="105"/>
        <v>0</v>
      </c>
      <c r="AY164" s="392">
        <f t="shared" si="106"/>
        <v>0</v>
      </c>
      <c r="AZ164" s="393">
        <f t="shared" si="107"/>
        <v>0</v>
      </c>
      <c r="BA164" s="302"/>
      <c r="BB164" s="302"/>
      <c r="BC164" s="302"/>
      <c r="BD164" s="302"/>
      <c r="BE164" s="302"/>
      <c r="BF164" s="302"/>
      <c r="BG164" s="302"/>
      <c r="BH164" s="302"/>
      <c r="BI164" s="302"/>
      <c r="BJ164" s="302"/>
      <c r="BK164" s="302"/>
      <c r="BL164" s="302"/>
      <c r="BM164" s="302"/>
      <c r="BN164" s="302"/>
      <c r="BO164" s="302"/>
      <c r="BP164" s="302"/>
      <c r="BQ164" s="302"/>
      <c r="BR164" s="302"/>
      <c r="BS164" s="302"/>
      <c r="BT164" s="302"/>
      <c r="BU164" s="302"/>
    </row>
    <row r="165" spans="1:73">
      <c r="A165" s="325"/>
      <c r="B165" s="394"/>
      <c r="C165" s="570" t="s">
        <v>547</v>
      </c>
      <c r="D165" s="572">
        <v>10.7</v>
      </c>
      <c r="E165" s="572">
        <v>8.51</v>
      </c>
      <c r="F165" s="395">
        <f t="shared" si="94"/>
        <v>2.25</v>
      </c>
      <c r="G165" s="382">
        <v>1800</v>
      </c>
      <c r="H165" s="396">
        <f t="shared" si="92"/>
        <v>3385</v>
      </c>
      <c r="I165" s="396">
        <v>1725</v>
      </c>
      <c r="J165" s="397"/>
      <c r="K165" s="570">
        <v>600</v>
      </c>
      <c r="L165" s="399">
        <f t="shared" si="95"/>
        <v>5.7226499999999998</v>
      </c>
      <c r="M165" s="395">
        <f t="shared" si="96"/>
        <v>5.7278571428571432</v>
      </c>
      <c r="N165" s="400">
        <f t="shared" si="97"/>
        <v>2.2628571428571429</v>
      </c>
      <c r="O165" s="365"/>
      <c r="P165" s="401">
        <f t="shared" si="93"/>
        <v>0</v>
      </c>
      <c r="Q165" s="302"/>
      <c r="R165" s="302"/>
      <c r="S165" s="302"/>
      <c r="T165" s="302"/>
      <c r="U165" s="302"/>
      <c r="V165" s="302"/>
      <c r="W165" s="302"/>
      <c r="X165" s="302"/>
      <c r="Y165" s="302"/>
      <c r="Z165" s="302"/>
      <c r="AA165" s="302"/>
      <c r="AB165" s="302"/>
      <c r="AC165" s="302"/>
      <c r="AD165" s="302"/>
      <c r="AE165" s="302"/>
      <c r="AF165" s="302"/>
      <c r="AG165" s="391">
        <v>0</v>
      </c>
      <c r="AH165" s="392">
        <v>0</v>
      </c>
      <c r="AI165" s="392">
        <v>2060</v>
      </c>
      <c r="AJ165" s="392">
        <v>2390</v>
      </c>
      <c r="AK165" s="392">
        <v>2890</v>
      </c>
      <c r="AL165" s="392">
        <v>3385</v>
      </c>
      <c r="AM165" s="392">
        <v>4120</v>
      </c>
      <c r="AN165" s="392">
        <v>6101</v>
      </c>
      <c r="AO165" s="392">
        <v>6820</v>
      </c>
      <c r="AP165" s="393">
        <v>9160</v>
      </c>
      <c r="AQ165" s="391">
        <f t="shared" si="98"/>
        <v>0</v>
      </c>
      <c r="AR165" s="392">
        <f t="shared" si="99"/>
        <v>0</v>
      </c>
      <c r="AS165" s="392">
        <f t="shared" si="100"/>
        <v>0</v>
      </c>
      <c r="AT165" s="392">
        <f t="shared" si="101"/>
        <v>0</v>
      </c>
      <c r="AU165" s="392">
        <f t="shared" si="102"/>
        <v>0</v>
      </c>
      <c r="AV165" s="392">
        <f t="shared" si="103"/>
        <v>3385</v>
      </c>
      <c r="AW165" s="392">
        <f t="shared" si="104"/>
        <v>0</v>
      </c>
      <c r="AX165" s="392">
        <f t="shared" si="105"/>
        <v>0</v>
      </c>
      <c r="AY165" s="392">
        <f t="shared" si="106"/>
        <v>0</v>
      </c>
      <c r="AZ165" s="393">
        <f t="shared" si="107"/>
        <v>0</v>
      </c>
      <c r="BA165" s="302"/>
      <c r="BB165" s="302"/>
      <c r="BC165" s="302"/>
      <c r="BD165" s="302"/>
      <c r="BE165" s="302"/>
      <c r="BF165" s="302"/>
      <c r="BG165" s="302"/>
      <c r="BH165" s="302"/>
      <c r="BI165" s="302"/>
      <c r="BJ165" s="302"/>
      <c r="BK165" s="302"/>
      <c r="BL165" s="302"/>
      <c r="BM165" s="302"/>
      <c r="BN165" s="302"/>
      <c r="BO165" s="302"/>
      <c r="BP165" s="302"/>
      <c r="BQ165" s="302"/>
      <c r="BR165" s="302"/>
      <c r="BS165" s="302"/>
      <c r="BT165" s="302"/>
      <c r="BU165" s="302"/>
    </row>
    <row r="166" spans="1:73">
      <c r="A166" s="325"/>
      <c r="B166" s="394"/>
      <c r="C166" s="570" t="s">
        <v>546</v>
      </c>
      <c r="D166" s="572">
        <v>10.8</v>
      </c>
      <c r="E166" s="572">
        <v>8.4760000000000009</v>
      </c>
      <c r="F166" s="395">
        <f t="shared" si="94"/>
        <v>2.5</v>
      </c>
      <c r="G166" s="382">
        <v>1800</v>
      </c>
      <c r="H166" s="396">
        <f t="shared" si="92"/>
        <v>1726</v>
      </c>
      <c r="I166" s="396">
        <v>1726</v>
      </c>
      <c r="J166" s="397"/>
      <c r="K166" s="570">
        <v>600</v>
      </c>
      <c r="L166" s="399">
        <f t="shared" si="95"/>
        <v>6.3585000000000003</v>
      </c>
      <c r="M166" s="395">
        <f t="shared" si="96"/>
        <v>6.3642857142857148</v>
      </c>
      <c r="N166" s="400">
        <f t="shared" si="97"/>
        <v>2.2628571428571429</v>
      </c>
      <c r="O166" s="365"/>
      <c r="P166" s="401">
        <f t="shared" si="93"/>
        <v>0</v>
      </c>
      <c r="Q166" s="302"/>
      <c r="R166" s="302"/>
      <c r="S166" s="302"/>
      <c r="T166" s="302"/>
      <c r="U166" s="302"/>
      <c r="V166" s="302"/>
      <c r="W166" s="302"/>
      <c r="X166" s="302"/>
      <c r="Y166" s="302"/>
      <c r="Z166" s="302"/>
      <c r="AA166" s="302"/>
      <c r="AB166" s="302"/>
      <c r="AC166" s="302"/>
      <c r="AD166" s="302"/>
      <c r="AE166" s="302"/>
      <c r="AF166" s="302"/>
      <c r="AG166" s="391">
        <v>0</v>
      </c>
      <c r="AH166" s="392">
        <v>0</v>
      </c>
      <c r="AI166" s="392">
        <v>0</v>
      </c>
      <c r="AJ166" s="392">
        <v>0</v>
      </c>
      <c r="AK166" s="392">
        <v>0</v>
      </c>
      <c r="AL166" s="392">
        <v>0</v>
      </c>
      <c r="AM166" s="392">
        <v>0</v>
      </c>
      <c r="AN166" s="392">
        <v>0</v>
      </c>
      <c r="AO166" s="392">
        <v>0</v>
      </c>
      <c r="AP166" s="393">
        <v>0</v>
      </c>
      <c r="AQ166" s="391">
        <f t="shared" si="98"/>
        <v>0</v>
      </c>
      <c r="AR166" s="392">
        <f t="shared" si="99"/>
        <v>0</v>
      </c>
      <c r="AS166" s="392">
        <f t="shared" si="100"/>
        <v>0</v>
      </c>
      <c r="AT166" s="392">
        <f t="shared" si="101"/>
        <v>0</v>
      </c>
      <c r="AU166" s="392">
        <f t="shared" si="102"/>
        <v>0</v>
      </c>
      <c r="AV166" s="392">
        <f t="shared" si="103"/>
        <v>0</v>
      </c>
      <c r="AW166" s="392">
        <f t="shared" si="104"/>
        <v>0</v>
      </c>
      <c r="AX166" s="392">
        <f t="shared" si="105"/>
        <v>0</v>
      </c>
      <c r="AY166" s="392">
        <f t="shared" si="106"/>
        <v>0</v>
      </c>
      <c r="AZ166" s="393">
        <f t="shared" si="107"/>
        <v>0</v>
      </c>
      <c r="BA166" s="302"/>
      <c r="BB166" s="302"/>
      <c r="BC166" s="302"/>
      <c r="BD166" s="302"/>
      <c r="BE166" s="302"/>
      <c r="BF166" s="302"/>
      <c r="BG166" s="302"/>
      <c r="BH166" s="302"/>
      <c r="BI166" s="302"/>
      <c r="BJ166" s="302"/>
      <c r="BK166" s="302"/>
      <c r="BL166" s="302"/>
      <c r="BM166" s="302"/>
      <c r="BN166" s="302"/>
      <c r="BO166" s="302"/>
      <c r="BP166" s="302"/>
      <c r="BQ166" s="302"/>
      <c r="BR166" s="302"/>
      <c r="BS166" s="302"/>
      <c r="BT166" s="302"/>
      <c r="BU166" s="302"/>
    </row>
    <row r="167" spans="1:73">
      <c r="A167" s="325"/>
      <c r="B167" s="394"/>
      <c r="C167" s="570"/>
      <c r="D167" s="572"/>
      <c r="E167" s="572"/>
      <c r="F167" s="395">
        <f t="shared" si="94"/>
        <v>0</v>
      </c>
      <c r="G167" s="382"/>
      <c r="H167" s="396">
        <f t="shared" si="92"/>
        <v>1727</v>
      </c>
      <c r="I167" s="396">
        <v>1727</v>
      </c>
      <c r="J167" s="397"/>
      <c r="K167" s="570"/>
      <c r="L167" s="399">
        <f t="shared" si="95"/>
        <v>0</v>
      </c>
      <c r="M167" s="395">
        <f t="shared" si="96"/>
        <v>0</v>
      </c>
      <c r="N167" s="400">
        <f t="shared" si="97"/>
        <v>0</v>
      </c>
      <c r="O167" s="365"/>
      <c r="P167" s="401">
        <f t="shared" si="93"/>
        <v>0</v>
      </c>
      <c r="Q167" s="302"/>
      <c r="R167" s="302"/>
      <c r="S167" s="302"/>
      <c r="T167" s="302"/>
      <c r="U167" s="302"/>
      <c r="V167" s="302"/>
      <c r="W167" s="302"/>
      <c r="X167" s="302"/>
      <c r="Y167" s="302"/>
      <c r="Z167" s="302"/>
      <c r="AA167" s="302"/>
      <c r="AB167" s="302"/>
      <c r="AC167" s="302"/>
      <c r="AD167" s="302"/>
      <c r="AE167" s="302"/>
      <c r="AF167" s="302"/>
      <c r="AG167" s="391">
        <v>0</v>
      </c>
      <c r="AH167" s="392">
        <v>0</v>
      </c>
      <c r="AI167" s="392">
        <v>0</v>
      </c>
      <c r="AJ167" s="392">
        <v>0</v>
      </c>
      <c r="AK167" s="392">
        <v>7225</v>
      </c>
      <c r="AL167" s="392">
        <v>8640</v>
      </c>
      <c r="AM167" s="392">
        <v>10666</v>
      </c>
      <c r="AN167" s="392">
        <v>13147.804648978634</v>
      </c>
      <c r="AO167" s="392">
        <v>14615</v>
      </c>
      <c r="AP167" s="393">
        <v>0</v>
      </c>
      <c r="AQ167" s="391">
        <f t="shared" si="98"/>
        <v>0</v>
      </c>
      <c r="AR167" s="392">
        <f t="shared" si="99"/>
        <v>0</v>
      </c>
      <c r="AS167" s="392">
        <f t="shared" si="100"/>
        <v>0</v>
      </c>
      <c r="AT167" s="392">
        <f t="shared" si="101"/>
        <v>0</v>
      </c>
      <c r="AU167" s="392">
        <f t="shared" si="102"/>
        <v>0</v>
      </c>
      <c r="AV167" s="392">
        <f t="shared" si="103"/>
        <v>0</v>
      </c>
      <c r="AW167" s="392">
        <f t="shared" si="104"/>
        <v>0</v>
      </c>
      <c r="AX167" s="392">
        <f t="shared" si="105"/>
        <v>0</v>
      </c>
      <c r="AY167" s="392">
        <f t="shared" si="106"/>
        <v>0</v>
      </c>
      <c r="AZ167" s="393">
        <f t="shared" si="107"/>
        <v>0</v>
      </c>
      <c r="BA167" s="302"/>
      <c r="BB167" s="302"/>
      <c r="BC167" s="302"/>
      <c r="BD167" s="302"/>
      <c r="BE167" s="302"/>
      <c r="BF167" s="302"/>
      <c r="BG167" s="302"/>
      <c r="BH167" s="302"/>
      <c r="BI167" s="302"/>
      <c r="BJ167" s="302"/>
      <c r="BK167" s="302"/>
      <c r="BL167" s="302"/>
      <c r="BM167" s="302"/>
      <c r="BN167" s="302"/>
      <c r="BO167" s="302"/>
      <c r="BP167" s="302"/>
      <c r="BQ167" s="302"/>
      <c r="BR167" s="302"/>
      <c r="BS167" s="302"/>
      <c r="BT167" s="302"/>
      <c r="BU167" s="302"/>
    </row>
    <row r="168" spans="1:73">
      <c r="A168" s="325"/>
      <c r="B168" s="394"/>
      <c r="C168" s="570" t="s">
        <v>157</v>
      </c>
      <c r="D168" s="572">
        <v>10.6</v>
      </c>
      <c r="E168" s="572">
        <v>8.1020000000000003</v>
      </c>
      <c r="F168" s="395">
        <f t="shared" si="94"/>
        <v>2.5</v>
      </c>
      <c r="G168" s="382">
        <v>1800</v>
      </c>
      <c r="H168" s="396">
        <f t="shared" si="92"/>
        <v>8350</v>
      </c>
      <c r="I168" s="396">
        <v>1728</v>
      </c>
      <c r="J168" s="397"/>
      <c r="K168" s="570">
        <v>900</v>
      </c>
      <c r="L168" s="399">
        <f t="shared" si="95"/>
        <v>6.3585000000000003</v>
      </c>
      <c r="M168" s="395">
        <f t="shared" si="96"/>
        <v>6.3642857142857148</v>
      </c>
      <c r="N168" s="400">
        <f t="shared" si="97"/>
        <v>2.2628571428571429</v>
      </c>
      <c r="O168" s="365"/>
      <c r="P168" s="401">
        <f t="shared" si="93"/>
        <v>0</v>
      </c>
      <c r="Q168" s="302"/>
      <c r="R168" s="302"/>
      <c r="S168" s="302"/>
      <c r="T168" s="302"/>
      <c r="U168" s="302"/>
      <c r="V168" s="302"/>
      <c r="W168" s="302"/>
      <c r="X168" s="302"/>
      <c r="Y168" s="302"/>
      <c r="Z168" s="302"/>
      <c r="AA168" s="302"/>
      <c r="AB168" s="302"/>
      <c r="AC168" s="302"/>
      <c r="AD168" s="302"/>
      <c r="AE168" s="302"/>
      <c r="AF168" s="302"/>
      <c r="AG168" s="391">
        <v>0</v>
      </c>
      <c r="AH168" s="392">
        <v>0</v>
      </c>
      <c r="AI168" s="392">
        <v>0</v>
      </c>
      <c r="AJ168" s="392">
        <v>0</v>
      </c>
      <c r="AK168" s="392">
        <v>7075</v>
      </c>
      <c r="AL168" s="392">
        <v>8350</v>
      </c>
      <c r="AM168" s="392">
        <v>10308</v>
      </c>
      <c r="AN168" s="392">
        <v>12706.503874148862</v>
      </c>
      <c r="AO168" s="392">
        <v>13965</v>
      </c>
      <c r="AP168" s="393">
        <v>0</v>
      </c>
      <c r="AQ168" s="391">
        <f t="shared" si="98"/>
        <v>0</v>
      </c>
      <c r="AR168" s="392">
        <f t="shared" si="99"/>
        <v>0</v>
      </c>
      <c r="AS168" s="392">
        <f t="shared" si="100"/>
        <v>0</v>
      </c>
      <c r="AT168" s="392">
        <f t="shared" si="101"/>
        <v>0</v>
      </c>
      <c r="AU168" s="392">
        <f t="shared" si="102"/>
        <v>0</v>
      </c>
      <c r="AV168" s="392">
        <f t="shared" si="103"/>
        <v>8350</v>
      </c>
      <c r="AW168" s="392">
        <f t="shared" si="104"/>
        <v>0</v>
      </c>
      <c r="AX168" s="392">
        <f t="shared" si="105"/>
        <v>0</v>
      </c>
      <c r="AY168" s="392">
        <f t="shared" si="106"/>
        <v>0</v>
      </c>
      <c r="AZ168" s="393">
        <f t="shared" si="107"/>
        <v>0</v>
      </c>
      <c r="BA168" s="302"/>
      <c r="BB168" s="302"/>
      <c r="BC168" s="302"/>
      <c r="BD168" s="302"/>
      <c r="BE168" s="302"/>
      <c r="BF168" s="302"/>
      <c r="BG168" s="302"/>
      <c r="BH168" s="302"/>
      <c r="BI168" s="302"/>
      <c r="BJ168" s="302"/>
      <c r="BK168" s="302"/>
      <c r="BL168" s="302"/>
      <c r="BM168" s="302"/>
      <c r="BN168" s="302"/>
      <c r="BO168" s="302"/>
      <c r="BP168" s="302"/>
      <c r="BQ168" s="302"/>
      <c r="BR168" s="302"/>
      <c r="BS168" s="302"/>
      <c r="BT168" s="302"/>
      <c r="BU168" s="302"/>
    </row>
    <row r="169" spans="1:73">
      <c r="A169" s="325"/>
      <c r="B169" s="394"/>
      <c r="C169" s="570" t="s">
        <v>545</v>
      </c>
      <c r="D169" s="572">
        <v>10.4</v>
      </c>
      <c r="E169" s="572">
        <v>8.0519999999999996</v>
      </c>
      <c r="F169" s="395">
        <f t="shared" si="94"/>
        <v>2.5</v>
      </c>
      <c r="G169" s="382">
        <v>1800</v>
      </c>
      <c r="H169" s="396">
        <f t="shared" si="92"/>
        <v>7770</v>
      </c>
      <c r="I169" s="396">
        <v>1729</v>
      </c>
      <c r="J169" s="397"/>
      <c r="K169" s="570">
        <v>900</v>
      </c>
      <c r="L169" s="399">
        <f t="shared" si="95"/>
        <v>6.3585000000000003</v>
      </c>
      <c r="M169" s="395">
        <f t="shared" si="96"/>
        <v>6.3642857142857148</v>
      </c>
      <c r="N169" s="400">
        <f t="shared" si="97"/>
        <v>2.2628571428571429</v>
      </c>
      <c r="O169" s="365"/>
      <c r="P169" s="401">
        <f t="shared" si="93"/>
        <v>0</v>
      </c>
      <c r="Q169" s="302"/>
      <c r="R169" s="302"/>
      <c r="S169" s="302"/>
      <c r="T169" s="302"/>
      <c r="U169" s="302"/>
      <c r="V169" s="302"/>
      <c r="W169" s="302"/>
      <c r="X169" s="302"/>
      <c r="Y169" s="302"/>
      <c r="Z169" s="302"/>
      <c r="AA169" s="302"/>
      <c r="AB169" s="302"/>
      <c r="AC169" s="302"/>
      <c r="AD169" s="302"/>
      <c r="AE169" s="302"/>
      <c r="AF169" s="302"/>
      <c r="AG169" s="391">
        <v>0</v>
      </c>
      <c r="AH169" s="392">
        <v>0</v>
      </c>
      <c r="AI169" s="392">
        <v>5720</v>
      </c>
      <c r="AJ169" s="392">
        <v>7148</v>
      </c>
      <c r="AK169" s="392">
        <v>6725</v>
      </c>
      <c r="AL169" s="392">
        <v>7770</v>
      </c>
      <c r="AM169" s="392">
        <v>9592</v>
      </c>
      <c r="AN169" s="392">
        <v>11823.902324489318</v>
      </c>
      <c r="AO169" s="392">
        <v>12665</v>
      </c>
      <c r="AP169" s="393">
        <v>13665</v>
      </c>
      <c r="AQ169" s="391">
        <f t="shared" si="98"/>
        <v>0</v>
      </c>
      <c r="AR169" s="392">
        <f t="shared" si="99"/>
        <v>0</v>
      </c>
      <c r="AS169" s="392">
        <f t="shared" si="100"/>
        <v>0</v>
      </c>
      <c r="AT169" s="392">
        <f t="shared" si="101"/>
        <v>0</v>
      </c>
      <c r="AU169" s="392">
        <f t="shared" si="102"/>
        <v>0</v>
      </c>
      <c r="AV169" s="392">
        <f t="shared" si="103"/>
        <v>7770</v>
      </c>
      <c r="AW169" s="392">
        <f t="shared" si="104"/>
        <v>0</v>
      </c>
      <c r="AX169" s="392">
        <f t="shared" si="105"/>
        <v>0</v>
      </c>
      <c r="AY169" s="392">
        <f t="shared" si="106"/>
        <v>0</v>
      </c>
      <c r="AZ169" s="393">
        <f t="shared" si="107"/>
        <v>0</v>
      </c>
      <c r="BA169" s="302"/>
      <c r="BB169" s="302"/>
      <c r="BC169" s="302"/>
      <c r="BD169" s="302"/>
      <c r="BE169" s="302"/>
      <c r="BF169" s="302"/>
      <c r="BG169" s="302"/>
      <c r="BH169" s="302"/>
      <c r="BI169" s="302"/>
      <c r="BJ169" s="302"/>
      <c r="BK169" s="302"/>
      <c r="BL169" s="302"/>
      <c r="BM169" s="302"/>
      <c r="BN169" s="302"/>
      <c r="BO169" s="302"/>
      <c r="BP169" s="302"/>
      <c r="BQ169" s="302"/>
      <c r="BR169" s="302"/>
      <c r="BS169" s="302"/>
      <c r="BT169" s="302"/>
      <c r="BU169" s="302"/>
    </row>
    <row r="170" spans="1:73">
      <c r="A170" s="325"/>
      <c r="B170" s="394"/>
      <c r="C170" s="570" t="s">
        <v>544</v>
      </c>
      <c r="D170" s="572">
        <v>10.14</v>
      </c>
      <c r="E170" s="572">
        <v>8.0039999999999996</v>
      </c>
      <c r="F170" s="395">
        <f t="shared" si="94"/>
        <v>2.25</v>
      </c>
      <c r="G170" s="382">
        <v>1800</v>
      </c>
      <c r="H170" s="396">
        <f t="shared" si="92"/>
        <v>6610</v>
      </c>
      <c r="I170" s="396">
        <v>1730</v>
      </c>
      <c r="J170" s="397"/>
      <c r="K170" s="570">
        <v>900</v>
      </c>
      <c r="L170" s="399">
        <f t="shared" si="95"/>
        <v>5.7226499999999998</v>
      </c>
      <c r="M170" s="395">
        <f t="shared" si="96"/>
        <v>5.7278571428571432</v>
      </c>
      <c r="N170" s="400">
        <f t="shared" si="97"/>
        <v>2.2628571428571429</v>
      </c>
      <c r="O170" s="365"/>
      <c r="P170" s="401">
        <f t="shared" si="93"/>
        <v>0</v>
      </c>
      <c r="Q170" s="302"/>
      <c r="R170" s="302"/>
      <c r="S170" s="302"/>
      <c r="T170" s="302"/>
      <c r="U170" s="302"/>
      <c r="V170" s="302"/>
      <c r="W170" s="302"/>
      <c r="X170" s="302"/>
      <c r="Y170" s="302"/>
      <c r="Z170" s="302"/>
      <c r="AA170" s="302"/>
      <c r="AB170" s="302"/>
      <c r="AC170" s="302"/>
      <c r="AD170" s="302"/>
      <c r="AE170" s="302"/>
      <c r="AF170" s="302"/>
      <c r="AG170" s="391">
        <v>0</v>
      </c>
      <c r="AH170" s="392">
        <v>0</v>
      </c>
      <c r="AI170" s="392">
        <v>4845</v>
      </c>
      <c r="AJ170" s="392">
        <v>5390</v>
      </c>
      <c r="AK170" s="392">
        <v>5925</v>
      </c>
      <c r="AL170" s="392">
        <v>6610</v>
      </c>
      <c r="AM170" s="392">
        <v>8160</v>
      </c>
      <c r="AN170" s="392">
        <v>9723</v>
      </c>
      <c r="AO170" s="392">
        <v>10065</v>
      </c>
      <c r="AP170" s="393">
        <v>11065</v>
      </c>
      <c r="AQ170" s="391">
        <f t="shared" si="98"/>
        <v>0</v>
      </c>
      <c r="AR170" s="392">
        <f t="shared" si="99"/>
        <v>0</v>
      </c>
      <c r="AS170" s="392">
        <f t="shared" si="100"/>
        <v>0</v>
      </c>
      <c r="AT170" s="392">
        <f t="shared" si="101"/>
        <v>0</v>
      </c>
      <c r="AU170" s="392">
        <f t="shared" si="102"/>
        <v>0</v>
      </c>
      <c r="AV170" s="392">
        <f t="shared" si="103"/>
        <v>6610</v>
      </c>
      <c r="AW170" s="392">
        <f t="shared" si="104"/>
        <v>0</v>
      </c>
      <c r="AX170" s="392">
        <f t="shared" si="105"/>
        <v>0</v>
      </c>
      <c r="AY170" s="392">
        <f t="shared" si="106"/>
        <v>0</v>
      </c>
      <c r="AZ170" s="393">
        <f t="shared" si="107"/>
        <v>0</v>
      </c>
      <c r="BA170" s="302"/>
      <c r="BB170" s="302"/>
      <c r="BC170" s="302"/>
      <c r="BD170" s="302"/>
      <c r="BE170" s="302"/>
      <c r="BF170" s="302"/>
      <c r="BG170" s="302"/>
      <c r="BH170" s="302"/>
      <c r="BI170" s="302"/>
      <c r="BJ170" s="302"/>
      <c r="BK170" s="302"/>
      <c r="BL170" s="302"/>
      <c r="BM170" s="302"/>
      <c r="BN170" s="302"/>
      <c r="BO170" s="302"/>
      <c r="BP170" s="302"/>
      <c r="BQ170" s="302"/>
      <c r="BR170" s="302"/>
      <c r="BS170" s="302"/>
      <c r="BT170" s="302"/>
      <c r="BU170" s="302"/>
    </row>
    <row r="171" spans="1:73">
      <c r="A171" s="325"/>
      <c r="B171" s="394">
        <v>1</v>
      </c>
      <c r="C171" s="570" t="s">
        <v>543</v>
      </c>
      <c r="D171" s="572">
        <v>10.1</v>
      </c>
      <c r="E171" s="572">
        <v>7.9770000000000003</v>
      </c>
      <c r="F171" s="395">
        <f t="shared" si="94"/>
        <v>2.25</v>
      </c>
      <c r="G171" s="382">
        <v>1800</v>
      </c>
      <c r="H171" s="396">
        <f t="shared" si="92"/>
        <v>4335</v>
      </c>
      <c r="I171" s="396">
        <v>1731</v>
      </c>
      <c r="J171" s="397"/>
      <c r="K171" s="570">
        <v>900</v>
      </c>
      <c r="L171" s="399">
        <f t="shared" si="95"/>
        <v>5.7226499999999998</v>
      </c>
      <c r="M171" s="395">
        <f t="shared" si="96"/>
        <v>5.7278571428571432</v>
      </c>
      <c r="N171" s="400">
        <f t="shared" si="97"/>
        <v>2.2628571428571429</v>
      </c>
      <c r="O171" s="365"/>
      <c r="P171" s="401">
        <f t="shared" si="93"/>
        <v>0</v>
      </c>
      <c r="Q171" s="302"/>
      <c r="R171" s="302"/>
      <c r="S171" s="302"/>
      <c r="T171" s="302"/>
      <c r="U171" s="302"/>
      <c r="V171" s="302"/>
      <c r="W171" s="302"/>
      <c r="X171" s="302"/>
      <c r="Y171" s="302"/>
      <c r="Z171" s="302"/>
      <c r="AA171" s="302"/>
      <c r="AB171" s="302"/>
      <c r="AC171" s="302"/>
      <c r="AD171" s="302"/>
      <c r="AE171" s="302"/>
      <c r="AF171" s="302"/>
      <c r="AG171" s="391">
        <v>0</v>
      </c>
      <c r="AH171" s="392">
        <v>0</v>
      </c>
      <c r="AI171" s="392">
        <v>2485</v>
      </c>
      <c r="AJ171" s="392">
        <v>2690</v>
      </c>
      <c r="AK171" s="392">
        <v>3505</v>
      </c>
      <c r="AL171" s="392">
        <v>4335</v>
      </c>
      <c r="AM171" s="392">
        <v>5276</v>
      </c>
      <c r="AN171" s="392">
        <v>6700</v>
      </c>
      <c r="AO171" s="392">
        <v>8015</v>
      </c>
      <c r="AP171" s="393">
        <v>8745</v>
      </c>
      <c r="AQ171" s="391">
        <f t="shared" si="98"/>
        <v>0</v>
      </c>
      <c r="AR171" s="392">
        <f t="shared" si="99"/>
        <v>0</v>
      </c>
      <c r="AS171" s="392">
        <f t="shared" si="100"/>
        <v>0</v>
      </c>
      <c r="AT171" s="392">
        <f t="shared" si="101"/>
        <v>0</v>
      </c>
      <c r="AU171" s="392">
        <f t="shared" si="102"/>
        <v>0</v>
      </c>
      <c r="AV171" s="392">
        <f t="shared" si="103"/>
        <v>4335</v>
      </c>
      <c r="AW171" s="392">
        <f t="shared" si="104"/>
        <v>0</v>
      </c>
      <c r="AX171" s="392">
        <f t="shared" si="105"/>
        <v>0</v>
      </c>
      <c r="AY171" s="392">
        <f t="shared" si="106"/>
        <v>0</v>
      </c>
      <c r="AZ171" s="393">
        <f t="shared" si="107"/>
        <v>0</v>
      </c>
      <c r="BA171" s="302"/>
      <c r="BB171" s="302"/>
      <c r="BC171" s="302"/>
      <c r="BD171" s="302"/>
      <c r="BE171" s="302"/>
      <c r="BF171" s="302"/>
      <c r="BG171" s="302"/>
      <c r="BH171" s="302"/>
      <c r="BI171" s="302"/>
      <c r="BJ171" s="302"/>
      <c r="BK171" s="302"/>
      <c r="BL171" s="302"/>
      <c r="BM171" s="302"/>
      <c r="BN171" s="302"/>
      <c r="BO171" s="302"/>
      <c r="BP171" s="302"/>
      <c r="BQ171" s="302"/>
      <c r="BR171" s="302"/>
      <c r="BS171" s="302"/>
      <c r="BT171" s="302"/>
      <c r="BU171" s="302"/>
    </row>
    <row r="172" spans="1:73">
      <c r="A172" s="325"/>
      <c r="B172" s="394"/>
      <c r="C172" s="570" t="s">
        <v>156</v>
      </c>
      <c r="D172" s="572">
        <v>9.99</v>
      </c>
      <c r="E172" s="572">
        <v>7.9560000000000004</v>
      </c>
      <c r="F172" s="395">
        <f t="shared" si="94"/>
        <v>2.25</v>
      </c>
      <c r="G172" s="382">
        <v>1800</v>
      </c>
      <c r="H172" s="396">
        <f t="shared" si="92"/>
        <v>9220</v>
      </c>
      <c r="I172" s="396">
        <v>1732</v>
      </c>
      <c r="J172" s="397"/>
      <c r="K172" s="570">
        <v>900</v>
      </c>
      <c r="L172" s="399">
        <f t="shared" si="95"/>
        <v>5.7226499999999998</v>
      </c>
      <c r="M172" s="395">
        <f t="shared" si="96"/>
        <v>5.7278571428571432</v>
      </c>
      <c r="N172" s="400">
        <f t="shared" si="97"/>
        <v>2.2628571428571429</v>
      </c>
      <c r="O172" s="365"/>
      <c r="P172" s="401">
        <f t="shared" si="93"/>
        <v>0</v>
      </c>
      <c r="Q172" s="302"/>
      <c r="R172" s="302"/>
      <c r="S172" s="302"/>
      <c r="T172" s="302"/>
      <c r="U172" s="302"/>
      <c r="V172" s="302"/>
      <c r="W172" s="302"/>
      <c r="X172" s="302"/>
      <c r="Y172" s="302"/>
      <c r="Z172" s="302"/>
      <c r="AA172" s="302"/>
      <c r="AB172" s="302"/>
      <c r="AC172" s="302"/>
      <c r="AD172" s="302"/>
      <c r="AE172" s="302"/>
      <c r="AF172" s="302"/>
      <c r="AG172" s="391">
        <v>0</v>
      </c>
      <c r="AH172" s="392">
        <v>0</v>
      </c>
      <c r="AI172" s="392">
        <v>0</v>
      </c>
      <c r="AJ172" s="392">
        <v>0</v>
      </c>
      <c r="AK172" s="392">
        <v>7525</v>
      </c>
      <c r="AL172" s="392">
        <v>9220</v>
      </c>
      <c r="AM172" s="392">
        <v>11382</v>
      </c>
      <c r="AN172" s="392">
        <v>14030.406198638178</v>
      </c>
      <c r="AO172" s="392">
        <v>15915</v>
      </c>
      <c r="AP172" s="393">
        <v>0</v>
      </c>
      <c r="AQ172" s="391">
        <f t="shared" si="98"/>
        <v>0</v>
      </c>
      <c r="AR172" s="392">
        <f t="shared" si="99"/>
        <v>0</v>
      </c>
      <c r="AS172" s="392">
        <f t="shared" si="100"/>
        <v>0</v>
      </c>
      <c r="AT172" s="392">
        <f t="shared" si="101"/>
        <v>0</v>
      </c>
      <c r="AU172" s="392">
        <f t="shared" si="102"/>
        <v>0</v>
      </c>
      <c r="AV172" s="392">
        <f t="shared" si="103"/>
        <v>9220</v>
      </c>
      <c r="AW172" s="392">
        <f t="shared" si="104"/>
        <v>0</v>
      </c>
      <c r="AX172" s="392">
        <f t="shared" si="105"/>
        <v>0</v>
      </c>
      <c r="AY172" s="392">
        <f t="shared" si="106"/>
        <v>0</v>
      </c>
      <c r="AZ172" s="393">
        <f t="shared" si="107"/>
        <v>0</v>
      </c>
      <c r="BA172" s="302"/>
      <c r="BB172" s="302"/>
      <c r="BC172" s="302"/>
      <c r="BD172" s="302"/>
      <c r="BE172" s="302"/>
      <c r="BF172" s="302"/>
      <c r="BG172" s="302"/>
      <c r="BH172" s="302"/>
      <c r="BI172" s="302"/>
      <c r="BJ172" s="302"/>
      <c r="BK172" s="302"/>
      <c r="BL172" s="302"/>
      <c r="BM172" s="302"/>
      <c r="BN172" s="302"/>
      <c r="BO172" s="302"/>
      <c r="BP172" s="302"/>
      <c r="BQ172" s="302"/>
      <c r="BR172" s="302"/>
      <c r="BS172" s="302"/>
      <c r="BT172" s="302"/>
      <c r="BU172" s="302"/>
    </row>
    <row r="173" spans="1:73">
      <c r="A173" s="325"/>
      <c r="B173" s="394"/>
      <c r="C173" s="570" t="s">
        <v>542</v>
      </c>
      <c r="D173" s="572">
        <v>9.5</v>
      </c>
      <c r="E173" s="572">
        <v>7.8949999999999996</v>
      </c>
      <c r="F173" s="395">
        <f t="shared" si="94"/>
        <v>1.75</v>
      </c>
      <c r="G173" s="382">
        <v>1800</v>
      </c>
      <c r="H173" s="396">
        <f t="shared" si="92"/>
        <v>8350</v>
      </c>
      <c r="I173" s="396">
        <v>1733</v>
      </c>
      <c r="J173" s="397"/>
      <c r="K173" s="570">
        <v>900</v>
      </c>
      <c r="L173" s="399">
        <f t="shared" si="95"/>
        <v>4.4509500000000006</v>
      </c>
      <c r="M173" s="395">
        <f t="shared" si="96"/>
        <v>4.4550000000000001</v>
      </c>
      <c r="N173" s="400">
        <f t="shared" si="97"/>
        <v>2.2628571428571429</v>
      </c>
      <c r="O173" s="365"/>
      <c r="P173" s="401">
        <f t="shared" si="93"/>
        <v>0</v>
      </c>
      <c r="Q173" s="302"/>
      <c r="R173" s="302"/>
      <c r="S173" s="302"/>
      <c r="T173" s="302"/>
      <c r="U173" s="302"/>
      <c r="V173" s="302"/>
      <c r="W173" s="302"/>
      <c r="X173" s="302"/>
      <c r="Y173" s="302"/>
      <c r="Z173" s="302"/>
      <c r="AA173" s="302"/>
      <c r="AB173" s="302"/>
      <c r="AC173" s="302"/>
      <c r="AD173" s="302"/>
      <c r="AE173" s="302"/>
      <c r="AF173" s="302"/>
      <c r="AG173" s="391">
        <v>0</v>
      </c>
      <c r="AH173" s="392">
        <v>0</v>
      </c>
      <c r="AI173" s="392">
        <v>0</v>
      </c>
      <c r="AJ173" s="392">
        <v>0</v>
      </c>
      <c r="AK173" s="392">
        <v>7075</v>
      </c>
      <c r="AL173" s="392">
        <v>8350</v>
      </c>
      <c r="AM173" s="392">
        <v>10308</v>
      </c>
      <c r="AN173" s="392">
        <v>12706.503874148862</v>
      </c>
      <c r="AO173" s="392">
        <v>13965</v>
      </c>
      <c r="AP173" s="393">
        <v>0</v>
      </c>
      <c r="AQ173" s="391">
        <f t="shared" si="98"/>
        <v>0</v>
      </c>
      <c r="AR173" s="392">
        <f t="shared" si="99"/>
        <v>0</v>
      </c>
      <c r="AS173" s="392">
        <f t="shared" si="100"/>
        <v>0</v>
      </c>
      <c r="AT173" s="392">
        <f t="shared" si="101"/>
        <v>0</v>
      </c>
      <c r="AU173" s="392">
        <f t="shared" si="102"/>
        <v>0</v>
      </c>
      <c r="AV173" s="392">
        <f t="shared" si="103"/>
        <v>8350</v>
      </c>
      <c r="AW173" s="392">
        <f t="shared" si="104"/>
        <v>0</v>
      </c>
      <c r="AX173" s="392">
        <f t="shared" si="105"/>
        <v>0</v>
      </c>
      <c r="AY173" s="392">
        <f t="shared" si="106"/>
        <v>0</v>
      </c>
      <c r="AZ173" s="393">
        <f t="shared" si="107"/>
        <v>0</v>
      </c>
      <c r="BA173" s="302"/>
      <c r="BB173" s="302"/>
      <c r="BC173" s="302"/>
      <c r="BD173" s="302"/>
      <c r="BE173" s="302"/>
      <c r="BF173" s="302"/>
      <c r="BG173" s="302"/>
      <c r="BH173" s="302"/>
      <c r="BI173" s="302"/>
      <c r="BJ173" s="302"/>
      <c r="BK173" s="302"/>
      <c r="BL173" s="302"/>
      <c r="BM173" s="302"/>
      <c r="BN173" s="302"/>
      <c r="BO173" s="302"/>
      <c r="BP173" s="302"/>
      <c r="BQ173" s="302"/>
      <c r="BR173" s="302"/>
      <c r="BS173" s="302"/>
      <c r="BT173" s="302"/>
      <c r="BU173" s="302"/>
    </row>
    <row r="174" spans="1:73">
      <c r="A174" s="325"/>
      <c r="B174" s="394"/>
      <c r="C174" s="570" t="s">
        <v>541</v>
      </c>
      <c r="D174" s="572">
        <v>9.5</v>
      </c>
      <c r="E174" s="572">
        <v>7.85</v>
      </c>
      <c r="F174" s="395">
        <f t="shared" si="94"/>
        <v>1.75</v>
      </c>
      <c r="G174" s="382">
        <v>1800</v>
      </c>
      <c r="H174" s="396">
        <f t="shared" si="92"/>
        <v>3385</v>
      </c>
      <c r="I174" s="396">
        <v>1734</v>
      </c>
      <c r="J174" s="397"/>
      <c r="K174" s="570">
        <v>825</v>
      </c>
      <c r="L174" s="399">
        <f t="shared" si="95"/>
        <v>4.4509500000000006</v>
      </c>
      <c r="M174" s="395">
        <f t="shared" si="96"/>
        <v>4.4550000000000001</v>
      </c>
      <c r="N174" s="400">
        <f t="shared" si="97"/>
        <v>2.2628571428571429</v>
      </c>
      <c r="O174" s="365"/>
      <c r="P174" s="401">
        <f t="shared" si="93"/>
        <v>0</v>
      </c>
      <c r="Q174" s="302"/>
      <c r="R174" s="302"/>
      <c r="S174" s="302"/>
      <c r="T174" s="302"/>
      <c r="U174" s="302"/>
      <c r="V174" s="302"/>
      <c r="W174" s="302"/>
      <c r="X174" s="302"/>
      <c r="Y174" s="302"/>
      <c r="Z174" s="302"/>
      <c r="AA174" s="302"/>
      <c r="AB174" s="302"/>
      <c r="AC174" s="302"/>
      <c r="AD174" s="302"/>
      <c r="AE174" s="302"/>
      <c r="AF174" s="302"/>
      <c r="AG174" s="391">
        <v>0</v>
      </c>
      <c r="AH174" s="392">
        <v>0</v>
      </c>
      <c r="AI174" s="392">
        <v>2060</v>
      </c>
      <c r="AJ174" s="392">
        <v>2390</v>
      </c>
      <c r="AK174" s="392">
        <v>2890</v>
      </c>
      <c r="AL174" s="392">
        <v>3385</v>
      </c>
      <c r="AM174" s="392">
        <v>4120</v>
      </c>
      <c r="AN174" s="392">
        <v>6101</v>
      </c>
      <c r="AO174" s="392">
        <v>6820</v>
      </c>
      <c r="AP174" s="393">
        <v>9160</v>
      </c>
      <c r="AQ174" s="391">
        <f t="shared" si="98"/>
        <v>0</v>
      </c>
      <c r="AR174" s="392">
        <f t="shared" si="99"/>
        <v>0</v>
      </c>
      <c r="AS174" s="392">
        <f t="shared" si="100"/>
        <v>0</v>
      </c>
      <c r="AT174" s="392">
        <f t="shared" si="101"/>
        <v>0</v>
      </c>
      <c r="AU174" s="392">
        <f t="shared" si="102"/>
        <v>0</v>
      </c>
      <c r="AV174" s="392">
        <f t="shared" si="103"/>
        <v>3385</v>
      </c>
      <c r="AW174" s="392">
        <f t="shared" si="104"/>
        <v>0</v>
      </c>
      <c r="AX174" s="392">
        <f t="shared" si="105"/>
        <v>0</v>
      </c>
      <c r="AY174" s="392">
        <f t="shared" si="106"/>
        <v>0</v>
      </c>
      <c r="AZ174" s="393">
        <f t="shared" si="107"/>
        <v>0</v>
      </c>
      <c r="BA174" s="302"/>
      <c r="BB174" s="302"/>
      <c r="BC174" s="302"/>
      <c r="BD174" s="302"/>
      <c r="BE174" s="302"/>
      <c r="BF174" s="302"/>
      <c r="BG174" s="302"/>
      <c r="BH174" s="302"/>
      <c r="BI174" s="302"/>
      <c r="BJ174" s="302"/>
      <c r="BK174" s="302"/>
      <c r="BL174" s="302"/>
      <c r="BM174" s="302"/>
      <c r="BN174" s="302"/>
      <c r="BO174" s="302"/>
      <c r="BP174" s="302"/>
      <c r="BQ174" s="302"/>
      <c r="BR174" s="302"/>
      <c r="BS174" s="302"/>
      <c r="BT174" s="302"/>
      <c r="BU174" s="302"/>
    </row>
    <row r="175" spans="1:73">
      <c r="A175" s="325"/>
      <c r="B175" s="394"/>
      <c r="C175" s="570" t="s">
        <v>153</v>
      </c>
      <c r="D175" s="572">
        <v>10</v>
      </c>
      <c r="E175" s="572">
        <v>7.8310000000000004</v>
      </c>
      <c r="F175" s="395">
        <f t="shared" si="94"/>
        <v>2.25</v>
      </c>
      <c r="G175" s="382">
        <v>1800</v>
      </c>
      <c r="H175" s="396">
        <f t="shared" si="92"/>
        <v>1735</v>
      </c>
      <c r="I175" s="396">
        <v>1735</v>
      </c>
      <c r="J175" s="397"/>
      <c r="K175" s="570">
        <v>825</v>
      </c>
      <c r="L175" s="399">
        <f t="shared" si="95"/>
        <v>5.7226499999999998</v>
      </c>
      <c r="M175" s="395">
        <f t="shared" si="96"/>
        <v>5.7278571428571432</v>
      </c>
      <c r="N175" s="400">
        <f t="shared" si="97"/>
        <v>2.2628571428571429</v>
      </c>
      <c r="O175" s="365"/>
      <c r="P175" s="401">
        <f t="shared" si="93"/>
        <v>0</v>
      </c>
      <c r="Q175" s="302"/>
      <c r="R175" s="302"/>
      <c r="S175" s="302"/>
      <c r="T175" s="302"/>
      <c r="U175" s="302"/>
      <c r="V175" s="302"/>
      <c r="W175" s="302"/>
      <c r="X175" s="302"/>
      <c r="Y175" s="302"/>
      <c r="Z175" s="302"/>
      <c r="AA175" s="302"/>
      <c r="AB175" s="302"/>
      <c r="AC175" s="302"/>
      <c r="AD175" s="302"/>
      <c r="AE175" s="302"/>
      <c r="AF175" s="302"/>
      <c r="AG175" s="391">
        <v>0</v>
      </c>
      <c r="AH175" s="392">
        <v>0</v>
      </c>
      <c r="AI175" s="392">
        <v>0</v>
      </c>
      <c r="AJ175" s="392">
        <v>0</v>
      </c>
      <c r="AK175" s="392">
        <v>0</v>
      </c>
      <c r="AL175" s="392">
        <v>0</v>
      </c>
      <c r="AM175" s="392">
        <v>0</v>
      </c>
      <c r="AN175" s="392">
        <v>0</v>
      </c>
      <c r="AO175" s="392">
        <v>0</v>
      </c>
      <c r="AP175" s="393">
        <v>0</v>
      </c>
      <c r="AQ175" s="391">
        <f t="shared" si="98"/>
        <v>0</v>
      </c>
      <c r="AR175" s="392">
        <f t="shared" si="99"/>
        <v>0</v>
      </c>
      <c r="AS175" s="392">
        <f t="shared" si="100"/>
        <v>0</v>
      </c>
      <c r="AT175" s="392">
        <f t="shared" si="101"/>
        <v>0</v>
      </c>
      <c r="AU175" s="392">
        <f t="shared" si="102"/>
        <v>0</v>
      </c>
      <c r="AV175" s="392">
        <f t="shared" si="103"/>
        <v>0</v>
      </c>
      <c r="AW175" s="392">
        <f t="shared" si="104"/>
        <v>0</v>
      </c>
      <c r="AX175" s="392">
        <f t="shared" si="105"/>
        <v>0</v>
      </c>
      <c r="AY175" s="392">
        <f t="shared" si="106"/>
        <v>0</v>
      </c>
      <c r="AZ175" s="393">
        <f t="shared" si="107"/>
        <v>0</v>
      </c>
      <c r="BA175" s="302"/>
      <c r="BB175" s="302"/>
      <c r="BC175" s="302"/>
      <c r="BD175" s="302"/>
      <c r="BE175" s="302"/>
      <c r="BF175" s="302"/>
      <c r="BG175" s="302"/>
      <c r="BH175" s="302"/>
      <c r="BI175" s="302"/>
      <c r="BJ175" s="302"/>
      <c r="BK175" s="302"/>
      <c r="BL175" s="302"/>
      <c r="BM175" s="302"/>
      <c r="BN175" s="302"/>
      <c r="BO175" s="302"/>
      <c r="BP175" s="302"/>
      <c r="BQ175" s="302"/>
      <c r="BR175" s="302"/>
      <c r="BS175" s="302"/>
      <c r="BT175" s="302"/>
      <c r="BU175" s="302"/>
    </row>
    <row r="176" spans="1:73">
      <c r="A176" s="325"/>
      <c r="B176" s="394"/>
      <c r="C176" s="570" t="s">
        <v>152</v>
      </c>
      <c r="D176" s="572">
        <v>9.9</v>
      </c>
      <c r="E176" s="572">
        <v>7.8090000000000002</v>
      </c>
      <c r="F176" s="395">
        <f t="shared" si="94"/>
        <v>2.25</v>
      </c>
      <c r="G176" s="382">
        <v>1800</v>
      </c>
      <c r="H176" s="396">
        <f t="shared" si="92"/>
        <v>1736</v>
      </c>
      <c r="I176" s="396">
        <v>1736</v>
      </c>
      <c r="J176" s="397"/>
      <c r="K176" s="570">
        <v>825</v>
      </c>
      <c r="L176" s="399">
        <f t="shared" si="95"/>
        <v>5.7226499999999998</v>
      </c>
      <c r="M176" s="395">
        <f t="shared" si="96"/>
        <v>5.7278571428571432</v>
      </c>
      <c r="N176" s="400">
        <f t="shared" si="97"/>
        <v>2.2628571428571429</v>
      </c>
      <c r="O176" s="365"/>
      <c r="P176" s="401">
        <f t="shared" si="93"/>
        <v>0</v>
      </c>
      <c r="Q176" s="302"/>
      <c r="R176" s="302"/>
      <c r="S176" s="302"/>
      <c r="T176" s="302"/>
      <c r="U176" s="302"/>
      <c r="V176" s="302"/>
      <c r="W176" s="302"/>
      <c r="X176" s="302"/>
      <c r="Y176" s="302"/>
      <c r="Z176" s="302"/>
      <c r="AA176" s="302"/>
      <c r="AB176" s="302"/>
      <c r="AC176" s="302"/>
      <c r="AD176" s="302"/>
      <c r="AE176" s="302"/>
      <c r="AF176" s="302"/>
      <c r="AG176" s="391">
        <v>0</v>
      </c>
      <c r="AH176" s="392">
        <v>0</v>
      </c>
      <c r="AI176" s="392">
        <v>0</v>
      </c>
      <c r="AJ176" s="392">
        <v>0</v>
      </c>
      <c r="AK176" s="392">
        <v>0</v>
      </c>
      <c r="AL176" s="392">
        <v>0</v>
      </c>
      <c r="AM176" s="392">
        <v>0</v>
      </c>
      <c r="AN176" s="392">
        <v>0</v>
      </c>
      <c r="AO176" s="392">
        <v>0</v>
      </c>
      <c r="AP176" s="393">
        <v>0</v>
      </c>
      <c r="AQ176" s="391">
        <f t="shared" si="98"/>
        <v>0</v>
      </c>
      <c r="AR176" s="392">
        <f t="shared" si="99"/>
        <v>0</v>
      </c>
      <c r="AS176" s="392">
        <f t="shared" si="100"/>
        <v>0</v>
      </c>
      <c r="AT176" s="392">
        <f t="shared" si="101"/>
        <v>0</v>
      </c>
      <c r="AU176" s="392">
        <f t="shared" si="102"/>
        <v>0</v>
      </c>
      <c r="AV176" s="392">
        <f t="shared" si="103"/>
        <v>0</v>
      </c>
      <c r="AW176" s="392">
        <f t="shared" si="104"/>
        <v>0</v>
      </c>
      <c r="AX176" s="392">
        <f t="shared" si="105"/>
        <v>0</v>
      </c>
      <c r="AY176" s="392">
        <f t="shared" si="106"/>
        <v>0</v>
      </c>
      <c r="AZ176" s="393">
        <f t="shared" si="107"/>
        <v>0</v>
      </c>
      <c r="BA176" s="302"/>
      <c r="BB176" s="302"/>
      <c r="BC176" s="302"/>
      <c r="BD176" s="302"/>
      <c r="BE176" s="302"/>
      <c r="BF176" s="302"/>
      <c r="BG176" s="302"/>
      <c r="BH176" s="302"/>
      <c r="BI176" s="302"/>
      <c r="BJ176" s="302"/>
      <c r="BK176" s="302"/>
      <c r="BL176" s="302"/>
      <c r="BM176" s="302"/>
      <c r="BN176" s="302"/>
      <c r="BO176" s="302"/>
      <c r="BP176" s="302"/>
      <c r="BQ176" s="302"/>
      <c r="BR176" s="302"/>
      <c r="BS176" s="302"/>
      <c r="BT176" s="302"/>
      <c r="BU176" s="302"/>
    </row>
    <row r="177" spans="1:73">
      <c r="A177" s="325"/>
      <c r="B177" s="394"/>
      <c r="C177" s="570" t="s">
        <v>151</v>
      </c>
      <c r="D177" s="572">
        <v>9.6</v>
      </c>
      <c r="E177" s="572">
        <v>7.7409999999999997</v>
      </c>
      <c r="F177" s="395">
        <f t="shared" si="94"/>
        <v>2</v>
      </c>
      <c r="G177" s="382">
        <v>1800</v>
      </c>
      <c r="H177" s="396">
        <f t="shared" si="92"/>
        <v>1737</v>
      </c>
      <c r="I177" s="396">
        <v>1737</v>
      </c>
      <c r="J177" s="397"/>
      <c r="K177" s="570">
        <v>825</v>
      </c>
      <c r="L177" s="399">
        <f t="shared" si="95"/>
        <v>5.0868000000000002</v>
      </c>
      <c r="M177" s="395">
        <f t="shared" si="96"/>
        <v>5.0914285714285716</v>
      </c>
      <c r="N177" s="400">
        <f t="shared" si="97"/>
        <v>2.2628571428571429</v>
      </c>
      <c r="O177" s="365"/>
      <c r="P177" s="401">
        <f t="shared" si="93"/>
        <v>0</v>
      </c>
      <c r="Q177" s="302"/>
      <c r="R177" s="302"/>
      <c r="S177" s="302"/>
      <c r="T177" s="302"/>
      <c r="U177" s="302"/>
      <c r="V177" s="302"/>
      <c r="W177" s="302"/>
      <c r="X177" s="302"/>
      <c r="Y177" s="302"/>
      <c r="Z177" s="302"/>
      <c r="AA177" s="302"/>
      <c r="AB177" s="302"/>
      <c r="AC177" s="302"/>
      <c r="AD177" s="302"/>
      <c r="AE177" s="302"/>
      <c r="AF177" s="302"/>
      <c r="AG177" s="391">
        <v>0</v>
      </c>
      <c r="AH177" s="392">
        <v>0</v>
      </c>
      <c r="AI177" s="392">
        <v>0</v>
      </c>
      <c r="AJ177" s="392">
        <v>0</v>
      </c>
      <c r="AK177" s="392">
        <v>0</v>
      </c>
      <c r="AL177" s="392">
        <v>0</v>
      </c>
      <c r="AM177" s="392">
        <v>0</v>
      </c>
      <c r="AN177" s="392">
        <v>0</v>
      </c>
      <c r="AO177" s="392">
        <v>0</v>
      </c>
      <c r="AP177" s="393">
        <v>0</v>
      </c>
      <c r="AQ177" s="391">
        <f t="shared" si="98"/>
        <v>0</v>
      </c>
      <c r="AR177" s="392">
        <f t="shared" si="99"/>
        <v>0</v>
      </c>
      <c r="AS177" s="392">
        <f t="shared" si="100"/>
        <v>0</v>
      </c>
      <c r="AT177" s="392">
        <f t="shared" si="101"/>
        <v>0</v>
      </c>
      <c r="AU177" s="392">
        <f t="shared" si="102"/>
        <v>0</v>
      </c>
      <c r="AV177" s="392">
        <f t="shared" si="103"/>
        <v>0</v>
      </c>
      <c r="AW177" s="392">
        <f t="shared" si="104"/>
        <v>0</v>
      </c>
      <c r="AX177" s="392">
        <f t="shared" si="105"/>
        <v>0</v>
      </c>
      <c r="AY177" s="392">
        <f t="shared" si="106"/>
        <v>0</v>
      </c>
      <c r="AZ177" s="393">
        <f t="shared" si="107"/>
        <v>0</v>
      </c>
      <c r="BA177" s="302"/>
      <c r="BB177" s="302"/>
      <c r="BC177" s="302"/>
      <c r="BD177" s="302"/>
      <c r="BE177" s="302"/>
      <c r="BF177" s="302"/>
      <c r="BG177" s="302"/>
      <c r="BH177" s="302"/>
      <c r="BI177" s="302"/>
      <c r="BJ177" s="302"/>
      <c r="BK177" s="302"/>
      <c r="BL177" s="302"/>
      <c r="BM177" s="302"/>
      <c r="BN177" s="302"/>
      <c r="BO177" s="302"/>
      <c r="BP177" s="302"/>
      <c r="BQ177" s="302"/>
      <c r="BR177" s="302"/>
      <c r="BS177" s="302"/>
      <c r="BT177" s="302"/>
      <c r="BU177" s="302"/>
    </row>
    <row r="178" spans="1:73">
      <c r="A178" s="325"/>
      <c r="B178" s="394"/>
      <c r="C178" s="570" t="s">
        <v>540</v>
      </c>
      <c r="D178" s="572">
        <v>9.9</v>
      </c>
      <c r="E178" s="572">
        <v>8.4030000000000005</v>
      </c>
      <c r="F178" s="395">
        <f t="shared" si="94"/>
        <v>1.5</v>
      </c>
      <c r="G178" s="382">
        <v>1200</v>
      </c>
      <c r="H178" s="396">
        <f t="shared" si="92"/>
        <v>1738</v>
      </c>
      <c r="I178" s="396">
        <v>1738</v>
      </c>
      <c r="J178" s="397"/>
      <c r="K178" s="570">
        <v>300</v>
      </c>
      <c r="L178" s="399">
        <f t="shared" si="95"/>
        <v>1.6956000000000002</v>
      </c>
      <c r="M178" s="395">
        <f t="shared" si="96"/>
        <v>1.6971428571428571</v>
      </c>
      <c r="N178" s="400">
        <f t="shared" si="97"/>
        <v>2.2628571428571429</v>
      </c>
      <c r="O178" s="365"/>
      <c r="P178" s="401">
        <f t="shared" si="93"/>
        <v>0</v>
      </c>
      <c r="Q178" s="302"/>
      <c r="R178" s="302"/>
      <c r="S178" s="302"/>
      <c r="T178" s="302"/>
      <c r="U178" s="302"/>
      <c r="V178" s="302"/>
      <c r="W178" s="302"/>
      <c r="X178" s="302"/>
      <c r="Y178" s="302"/>
      <c r="Z178" s="302"/>
      <c r="AA178" s="302"/>
      <c r="AB178" s="302"/>
      <c r="AC178" s="302"/>
      <c r="AD178" s="302"/>
      <c r="AE178" s="302"/>
      <c r="AF178" s="302"/>
      <c r="AG178" s="391">
        <v>0</v>
      </c>
      <c r="AH178" s="392">
        <v>0</v>
      </c>
      <c r="AI178" s="392">
        <v>0</v>
      </c>
      <c r="AJ178" s="392">
        <v>0</v>
      </c>
      <c r="AK178" s="392">
        <v>0</v>
      </c>
      <c r="AL178" s="392">
        <v>0</v>
      </c>
      <c r="AM178" s="392">
        <v>0</v>
      </c>
      <c r="AN178" s="392">
        <v>0</v>
      </c>
      <c r="AO178" s="392">
        <v>0</v>
      </c>
      <c r="AP178" s="393">
        <v>0</v>
      </c>
      <c r="AQ178" s="391">
        <f t="shared" si="98"/>
        <v>0</v>
      </c>
      <c r="AR178" s="392">
        <f t="shared" si="99"/>
        <v>0</v>
      </c>
      <c r="AS178" s="392">
        <f t="shared" si="100"/>
        <v>0</v>
      </c>
      <c r="AT178" s="392">
        <f t="shared" si="101"/>
        <v>0</v>
      </c>
      <c r="AU178" s="392">
        <f t="shared" si="102"/>
        <v>0</v>
      </c>
      <c r="AV178" s="392">
        <f t="shared" si="103"/>
        <v>0</v>
      </c>
      <c r="AW178" s="392">
        <f t="shared" si="104"/>
        <v>0</v>
      </c>
      <c r="AX178" s="392">
        <f t="shared" si="105"/>
        <v>0</v>
      </c>
      <c r="AY178" s="392">
        <f t="shared" si="106"/>
        <v>0</v>
      </c>
      <c r="AZ178" s="393">
        <f t="shared" si="107"/>
        <v>0</v>
      </c>
      <c r="BA178" s="302"/>
      <c r="BB178" s="302"/>
      <c r="BC178" s="302"/>
      <c r="BD178" s="302"/>
      <c r="BE178" s="302"/>
      <c r="BF178" s="302"/>
      <c r="BG178" s="302"/>
      <c r="BH178" s="302"/>
      <c r="BI178" s="302"/>
      <c r="BJ178" s="302"/>
      <c r="BK178" s="302"/>
      <c r="BL178" s="302"/>
      <c r="BM178" s="302"/>
      <c r="BN178" s="302"/>
      <c r="BO178" s="302"/>
      <c r="BP178" s="302"/>
      <c r="BQ178" s="302"/>
      <c r="BR178" s="302"/>
      <c r="BS178" s="302"/>
      <c r="BT178" s="302"/>
      <c r="BU178" s="302"/>
    </row>
    <row r="179" spans="1:73">
      <c r="A179" s="325"/>
      <c r="B179" s="394"/>
      <c r="C179" s="570" t="s">
        <v>539</v>
      </c>
      <c r="D179" s="572">
        <v>9.5</v>
      </c>
      <c r="E179" s="572">
        <v>7.6929999999999996</v>
      </c>
      <c r="F179" s="395">
        <f t="shared" si="94"/>
        <v>2</v>
      </c>
      <c r="G179" s="382">
        <v>1800</v>
      </c>
      <c r="H179" s="396">
        <f t="shared" si="92"/>
        <v>1739</v>
      </c>
      <c r="I179" s="396">
        <v>1739</v>
      </c>
      <c r="J179" s="397"/>
      <c r="K179" s="570">
        <v>825</v>
      </c>
      <c r="L179" s="399">
        <f t="shared" si="95"/>
        <v>5.0868000000000002</v>
      </c>
      <c r="M179" s="395">
        <f t="shared" si="96"/>
        <v>5.0914285714285716</v>
      </c>
      <c r="N179" s="400">
        <f t="shared" si="97"/>
        <v>2.2628571428571429</v>
      </c>
      <c r="O179" s="365"/>
      <c r="P179" s="401">
        <f t="shared" si="93"/>
        <v>0</v>
      </c>
      <c r="Q179" s="302"/>
      <c r="R179" s="302"/>
      <c r="S179" s="302"/>
      <c r="T179" s="302"/>
      <c r="U179" s="302"/>
      <c r="V179" s="302"/>
      <c r="W179" s="302"/>
      <c r="X179" s="302"/>
      <c r="Y179" s="302"/>
      <c r="Z179" s="302"/>
      <c r="AA179" s="302"/>
      <c r="AB179" s="302"/>
      <c r="AC179" s="302"/>
      <c r="AD179" s="302"/>
      <c r="AE179" s="302"/>
      <c r="AF179" s="302"/>
      <c r="AG179" s="391">
        <v>0</v>
      </c>
      <c r="AH179" s="392">
        <v>0</v>
      </c>
      <c r="AI179" s="392">
        <v>0</v>
      </c>
      <c r="AJ179" s="392">
        <v>0</v>
      </c>
      <c r="AK179" s="392">
        <v>0</v>
      </c>
      <c r="AL179" s="392">
        <v>0</v>
      </c>
      <c r="AM179" s="392">
        <v>0</v>
      </c>
      <c r="AN179" s="392">
        <v>0</v>
      </c>
      <c r="AO179" s="392">
        <v>0</v>
      </c>
      <c r="AP179" s="393">
        <v>0</v>
      </c>
      <c r="AQ179" s="391">
        <f t="shared" si="98"/>
        <v>0</v>
      </c>
      <c r="AR179" s="392">
        <f t="shared" si="99"/>
        <v>0</v>
      </c>
      <c r="AS179" s="392">
        <f t="shared" si="100"/>
        <v>0</v>
      </c>
      <c r="AT179" s="392">
        <f t="shared" si="101"/>
        <v>0</v>
      </c>
      <c r="AU179" s="392">
        <f t="shared" si="102"/>
        <v>0</v>
      </c>
      <c r="AV179" s="392">
        <f t="shared" si="103"/>
        <v>0</v>
      </c>
      <c r="AW179" s="392">
        <f t="shared" si="104"/>
        <v>0</v>
      </c>
      <c r="AX179" s="392">
        <f t="shared" si="105"/>
        <v>0</v>
      </c>
      <c r="AY179" s="392">
        <f t="shared" si="106"/>
        <v>0</v>
      </c>
      <c r="AZ179" s="393">
        <f t="shared" si="107"/>
        <v>0</v>
      </c>
      <c r="BA179" s="302"/>
      <c r="BB179" s="302"/>
      <c r="BC179" s="302"/>
      <c r="BD179" s="302"/>
      <c r="BE179" s="302"/>
      <c r="BF179" s="302"/>
      <c r="BG179" s="302"/>
      <c r="BH179" s="302"/>
      <c r="BI179" s="302"/>
      <c r="BJ179" s="302"/>
      <c r="BK179" s="302"/>
      <c r="BL179" s="302"/>
      <c r="BM179" s="302"/>
      <c r="BN179" s="302"/>
      <c r="BO179" s="302"/>
      <c r="BP179" s="302"/>
      <c r="BQ179" s="302"/>
      <c r="BR179" s="302"/>
      <c r="BS179" s="302"/>
      <c r="BT179" s="302"/>
      <c r="BU179" s="302"/>
    </row>
    <row r="180" spans="1:73">
      <c r="A180" s="325"/>
      <c r="B180" s="394"/>
      <c r="C180" s="570" t="s">
        <v>538</v>
      </c>
      <c r="D180" s="572">
        <v>12.2</v>
      </c>
      <c r="E180" s="572">
        <v>9.5</v>
      </c>
      <c r="F180" s="395">
        <f t="shared" si="94"/>
        <v>2.75</v>
      </c>
      <c r="G180" s="382">
        <v>1200</v>
      </c>
      <c r="H180" s="396">
        <f t="shared" si="92"/>
        <v>1740</v>
      </c>
      <c r="I180" s="396">
        <v>1740</v>
      </c>
      <c r="J180" s="397"/>
      <c r="K180" s="570">
        <v>375</v>
      </c>
      <c r="L180" s="399">
        <f t="shared" si="95"/>
        <v>3.1086</v>
      </c>
      <c r="M180" s="395">
        <f t="shared" si="96"/>
        <v>3.1114285714285717</v>
      </c>
      <c r="N180" s="400">
        <f t="shared" si="97"/>
        <v>2.2628571428571429</v>
      </c>
      <c r="O180" s="365"/>
      <c r="P180" s="401">
        <f t="shared" si="93"/>
        <v>0</v>
      </c>
      <c r="Q180" s="302"/>
      <c r="R180" s="302"/>
      <c r="S180" s="302"/>
      <c r="T180" s="302"/>
      <c r="U180" s="302"/>
      <c r="V180" s="302"/>
      <c r="W180" s="302"/>
      <c r="X180" s="302"/>
      <c r="Y180" s="302"/>
      <c r="Z180" s="302"/>
      <c r="AA180" s="302"/>
      <c r="AB180" s="302"/>
      <c r="AC180" s="302"/>
      <c r="AD180" s="302"/>
      <c r="AE180" s="302"/>
      <c r="AF180" s="302"/>
      <c r="AG180" s="391">
        <v>0</v>
      </c>
      <c r="AH180" s="392">
        <v>0</v>
      </c>
      <c r="AI180" s="392">
        <v>0</v>
      </c>
      <c r="AJ180" s="392">
        <v>0</v>
      </c>
      <c r="AK180" s="392">
        <v>0</v>
      </c>
      <c r="AL180" s="392">
        <v>0</v>
      </c>
      <c r="AM180" s="392">
        <v>0</v>
      </c>
      <c r="AN180" s="392">
        <v>0</v>
      </c>
      <c r="AO180" s="392">
        <v>0</v>
      </c>
      <c r="AP180" s="393">
        <v>0</v>
      </c>
      <c r="AQ180" s="391">
        <f t="shared" si="98"/>
        <v>0</v>
      </c>
      <c r="AR180" s="392">
        <f t="shared" si="99"/>
        <v>0</v>
      </c>
      <c r="AS180" s="392">
        <f t="shared" si="100"/>
        <v>0</v>
      </c>
      <c r="AT180" s="392">
        <f t="shared" si="101"/>
        <v>0</v>
      </c>
      <c r="AU180" s="392">
        <f t="shared" si="102"/>
        <v>0</v>
      </c>
      <c r="AV180" s="392">
        <f t="shared" si="103"/>
        <v>0</v>
      </c>
      <c r="AW180" s="392">
        <f t="shared" si="104"/>
        <v>0</v>
      </c>
      <c r="AX180" s="392">
        <f t="shared" si="105"/>
        <v>0</v>
      </c>
      <c r="AY180" s="392">
        <f t="shared" si="106"/>
        <v>0</v>
      </c>
      <c r="AZ180" s="393">
        <f t="shared" si="107"/>
        <v>0</v>
      </c>
      <c r="BA180" s="302"/>
      <c r="BB180" s="302"/>
      <c r="BC180" s="302"/>
      <c r="BD180" s="302"/>
      <c r="BE180" s="302"/>
      <c r="BF180" s="302"/>
      <c r="BG180" s="302"/>
      <c r="BH180" s="302"/>
      <c r="BI180" s="302"/>
      <c r="BJ180" s="302"/>
      <c r="BK180" s="302"/>
      <c r="BL180" s="302"/>
      <c r="BM180" s="302"/>
      <c r="BN180" s="302"/>
      <c r="BO180" s="302"/>
      <c r="BP180" s="302"/>
      <c r="BQ180" s="302"/>
      <c r="BR180" s="302"/>
      <c r="BS180" s="302"/>
      <c r="BT180" s="302"/>
      <c r="BU180" s="302"/>
    </row>
    <row r="181" spans="1:73">
      <c r="A181" s="325"/>
      <c r="B181" s="394"/>
      <c r="C181" s="570" t="s">
        <v>537</v>
      </c>
      <c r="D181" s="572">
        <v>12</v>
      </c>
      <c r="E181" s="572">
        <v>9.4149999999999991</v>
      </c>
      <c r="F181" s="395">
        <f t="shared" si="94"/>
        <v>2.75</v>
      </c>
      <c r="G181" s="382">
        <v>1800</v>
      </c>
      <c r="H181" s="396">
        <f t="shared" si="92"/>
        <v>1741</v>
      </c>
      <c r="I181" s="396">
        <v>1741</v>
      </c>
      <c r="J181" s="397"/>
      <c r="K181" s="570">
        <v>600</v>
      </c>
      <c r="L181" s="399">
        <f t="shared" si="95"/>
        <v>6.9943500000000007</v>
      </c>
      <c r="M181" s="395">
        <f t="shared" si="96"/>
        <v>7.0007142857142863</v>
      </c>
      <c r="N181" s="400">
        <f t="shared" si="97"/>
        <v>2.2628571428571429</v>
      </c>
      <c r="O181" s="365"/>
      <c r="P181" s="401">
        <f t="shared" si="93"/>
        <v>0</v>
      </c>
      <c r="Q181" s="302"/>
      <c r="R181" s="302"/>
      <c r="S181" s="302"/>
      <c r="T181" s="302"/>
      <c r="U181" s="302"/>
      <c r="V181" s="302"/>
      <c r="W181" s="302"/>
      <c r="X181" s="302"/>
      <c r="Y181" s="302"/>
      <c r="Z181" s="302"/>
      <c r="AA181" s="302"/>
      <c r="AB181" s="302"/>
      <c r="AC181" s="302"/>
      <c r="AD181" s="302"/>
      <c r="AE181" s="302"/>
      <c r="AF181" s="302"/>
      <c r="AG181" s="391">
        <v>0</v>
      </c>
      <c r="AH181" s="392">
        <v>0</v>
      </c>
      <c r="AI181" s="392">
        <v>0</v>
      </c>
      <c r="AJ181" s="392">
        <v>0</v>
      </c>
      <c r="AK181" s="392">
        <v>0</v>
      </c>
      <c r="AL181" s="392">
        <v>0</v>
      </c>
      <c r="AM181" s="392">
        <v>0</v>
      </c>
      <c r="AN181" s="392">
        <v>0</v>
      </c>
      <c r="AO181" s="392">
        <v>0</v>
      </c>
      <c r="AP181" s="393">
        <v>0</v>
      </c>
      <c r="AQ181" s="391">
        <f t="shared" si="98"/>
        <v>0</v>
      </c>
      <c r="AR181" s="392">
        <f t="shared" si="99"/>
        <v>0</v>
      </c>
      <c r="AS181" s="392">
        <f t="shared" si="100"/>
        <v>0</v>
      </c>
      <c r="AT181" s="392">
        <f t="shared" si="101"/>
        <v>0</v>
      </c>
      <c r="AU181" s="392">
        <f t="shared" si="102"/>
        <v>0</v>
      </c>
      <c r="AV181" s="392">
        <f t="shared" si="103"/>
        <v>0</v>
      </c>
      <c r="AW181" s="392">
        <f t="shared" si="104"/>
        <v>0</v>
      </c>
      <c r="AX181" s="392">
        <f t="shared" si="105"/>
        <v>0</v>
      </c>
      <c r="AY181" s="392">
        <f t="shared" si="106"/>
        <v>0</v>
      </c>
      <c r="AZ181" s="393">
        <f t="shared" si="107"/>
        <v>0</v>
      </c>
      <c r="BA181" s="302"/>
      <c r="BB181" s="302"/>
      <c r="BC181" s="302"/>
      <c r="BD181" s="302"/>
      <c r="BE181" s="302"/>
      <c r="BF181" s="302"/>
      <c r="BG181" s="302"/>
      <c r="BH181" s="302"/>
      <c r="BI181" s="302"/>
      <c r="BJ181" s="302"/>
      <c r="BK181" s="302"/>
      <c r="BL181" s="302"/>
      <c r="BM181" s="302"/>
      <c r="BN181" s="302"/>
      <c r="BO181" s="302"/>
      <c r="BP181" s="302"/>
      <c r="BQ181" s="302"/>
      <c r="BR181" s="302"/>
      <c r="BS181" s="302"/>
      <c r="BT181" s="302"/>
      <c r="BU181" s="302"/>
    </row>
    <row r="182" spans="1:73">
      <c r="A182" s="325"/>
      <c r="B182" s="394"/>
      <c r="C182" s="570" t="s">
        <v>536</v>
      </c>
      <c r="D182" s="572">
        <v>11.65</v>
      </c>
      <c r="E182" s="572">
        <v>9.0549999999999997</v>
      </c>
      <c r="F182" s="395">
        <f t="shared" si="94"/>
        <v>2.75</v>
      </c>
      <c r="G182" s="382">
        <v>1800</v>
      </c>
      <c r="H182" s="396">
        <f t="shared" si="92"/>
        <v>1742</v>
      </c>
      <c r="I182" s="396">
        <v>1742</v>
      </c>
      <c r="J182" s="397"/>
      <c r="K182" s="570">
        <v>600</v>
      </c>
      <c r="L182" s="399">
        <f t="shared" si="95"/>
        <v>6.9943500000000007</v>
      </c>
      <c r="M182" s="395">
        <f t="shared" si="96"/>
        <v>7.0007142857142863</v>
      </c>
      <c r="N182" s="400">
        <f t="shared" si="97"/>
        <v>2.2628571428571429</v>
      </c>
      <c r="O182" s="365"/>
      <c r="P182" s="401">
        <f t="shared" si="93"/>
        <v>0</v>
      </c>
      <c r="Q182" s="302"/>
      <c r="R182" s="302"/>
      <c r="S182" s="302"/>
      <c r="T182" s="302"/>
      <c r="U182" s="302"/>
      <c r="V182" s="302"/>
      <c r="W182" s="302"/>
      <c r="X182" s="302"/>
      <c r="Y182" s="302"/>
      <c r="Z182" s="302"/>
      <c r="AA182" s="302"/>
      <c r="AB182" s="302"/>
      <c r="AC182" s="302"/>
      <c r="AD182" s="302"/>
      <c r="AE182" s="302"/>
      <c r="AF182" s="302"/>
      <c r="AG182" s="391">
        <v>0</v>
      </c>
      <c r="AH182" s="392">
        <v>0</v>
      </c>
      <c r="AI182" s="392">
        <v>0</v>
      </c>
      <c r="AJ182" s="392">
        <v>0</v>
      </c>
      <c r="AK182" s="392">
        <v>0</v>
      </c>
      <c r="AL182" s="392">
        <v>0</v>
      </c>
      <c r="AM182" s="392">
        <v>0</v>
      </c>
      <c r="AN182" s="392">
        <v>0</v>
      </c>
      <c r="AO182" s="392">
        <v>0</v>
      </c>
      <c r="AP182" s="393">
        <v>0</v>
      </c>
      <c r="AQ182" s="391">
        <f t="shared" si="98"/>
        <v>0</v>
      </c>
      <c r="AR182" s="392">
        <f t="shared" si="99"/>
        <v>0</v>
      </c>
      <c r="AS182" s="392">
        <f t="shared" si="100"/>
        <v>0</v>
      </c>
      <c r="AT182" s="392">
        <f t="shared" si="101"/>
        <v>0</v>
      </c>
      <c r="AU182" s="392">
        <f t="shared" si="102"/>
        <v>0</v>
      </c>
      <c r="AV182" s="392">
        <f t="shared" si="103"/>
        <v>0</v>
      </c>
      <c r="AW182" s="392">
        <f t="shared" si="104"/>
        <v>0</v>
      </c>
      <c r="AX182" s="392">
        <f t="shared" si="105"/>
        <v>0</v>
      </c>
      <c r="AY182" s="392">
        <f t="shared" si="106"/>
        <v>0</v>
      </c>
      <c r="AZ182" s="393">
        <f t="shared" si="107"/>
        <v>0</v>
      </c>
      <c r="BA182" s="302"/>
      <c r="BB182" s="302"/>
      <c r="BC182" s="302"/>
      <c r="BD182" s="302"/>
      <c r="BE182" s="302"/>
      <c r="BF182" s="302"/>
      <c r="BG182" s="302"/>
      <c r="BH182" s="302"/>
      <c r="BI182" s="302"/>
      <c r="BJ182" s="302"/>
      <c r="BK182" s="302"/>
      <c r="BL182" s="302"/>
      <c r="BM182" s="302"/>
      <c r="BN182" s="302"/>
      <c r="BO182" s="302"/>
      <c r="BP182" s="302"/>
      <c r="BQ182" s="302"/>
      <c r="BR182" s="302"/>
      <c r="BS182" s="302"/>
      <c r="BT182" s="302"/>
      <c r="BU182" s="302"/>
    </row>
    <row r="183" spans="1:73">
      <c r="A183" s="325"/>
      <c r="B183" s="394"/>
      <c r="C183" s="570" t="s">
        <v>535</v>
      </c>
      <c r="D183" s="572">
        <v>11.5</v>
      </c>
      <c r="E183" s="572">
        <v>8.6359999999999992</v>
      </c>
      <c r="F183" s="395">
        <f t="shared" si="94"/>
        <v>3</v>
      </c>
      <c r="G183" s="382">
        <v>1800</v>
      </c>
      <c r="H183" s="396">
        <f t="shared" si="92"/>
        <v>1743</v>
      </c>
      <c r="I183" s="396">
        <v>1743</v>
      </c>
      <c r="J183" s="397"/>
      <c r="K183" s="570">
        <v>900</v>
      </c>
      <c r="L183" s="399">
        <f t="shared" si="95"/>
        <v>7.6302000000000003</v>
      </c>
      <c r="M183" s="395">
        <f t="shared" si="96"/>
        <v>7.637142857142857</v>
      </c>
      <c r="N183" s="400">
        <f t="shared" si="97"/>
        <v>2.2628571428571429</v>
      </c>
      <c r="O183" s="365"/>
      <c r="P183" s="401">
        <f t="shared" ref="P183:P214" si="108">IF($A183&gt;0,(VLOOKUP($G183,$Q$253:$S$258,3)),0)</f>
        <v>0</v>
      </c>
      <c r="Q183" s="302"/>
      <c r="R183" s="302"/>
      <c r="S183" s="302"/>
      <c r="T183" s="302"/>
      <c r="U183" s="302"/>
      <c r="V183" s="302"/>
      <c r="W183" s="302"/>
      <c r="X183" s="302"/>
      <c r="Y183" s="302"/>
      <c r="Z183" s="302"/>
      <c r="AA183" s="302"/>
      <c r="AB183" s="302"/>
      <c r="AC183" s="302"/>
      <c r="AD183" s="302"/>
      <c r="AE183" s="302"/>
      <c r="AF183" s="302"/>
      <c r="AG183" s="391">
        <v>0</v>
      </c>
      <c r="AH183" s="392">
        <v>0</v>
      </c>
      <c r="AI183" s="392">
        <v>0</v>
      </c>
      <c r="AJ183" s="392">
        <v>0</v>
      </c>
      <c r="AK183" s="392">
        <v>0</v>
      </c>
      <c r="AL183" s="392">
        <v>0</v>
      </c>
      <c r="AM183" s="392">
        <v>0</v>
      </c>
      <c r="AN183" s="392">
        <v>0</v>
      </c>
      <c r="AO183" s="392">
        <v>0</v>
      </c>
      <c r="AP183" s="393">
        <v>0</v>
      </c>
      <c r="AQ183" s="391">
        <f t="shared" si="98"/>
        <v>0</v>
      </c>
      <c r="AR183" s="392">
        <f t="shared" si="99"/>
        <v>0</v>
      </c>
      <c r="AS183" s="392">
        <f t="shared" si="100"/>
        <v>0</v>
      </c>
      <c r="AT183" s="392">
        <f t="shared" si="101"/>
        <v>0</v>
      </c>
      <c r="AU183" s="392">
        <f t="shared" si="102"/>
        <v>0</v>
      </c>
      <c r="AV183" s="392">
        <f t="shared" si="103"/>
        <v>0</v>
      </c>
      <c r="AW183" s="392">
        <f t="shared" si="104"/>
        <v>0</v>
      </c>
      <c r="AX183" s="392">
        <f t="shared" si="105"/>
        <v>0</v>
      </c>
      <c r="AY183" s="392">
        <f t="shared" si="106"/>
        <v>0</v>
      </c>
      <c r="AZ183" s="393">
        <f t="shared" si="107"/>
        <v>0</v>
      </c>
      <c r="BA183" s="302"/>
      <c r="BB183" s="302"/>
      <c r="BC183" s="302"/>
      <c r="BD183" s="302"/>
      <c r="BE183" s="302"/>
      <c r="BF183" s="302"/>
      <c r="BG183" s="302"/>
      <c r="BH183" s="302"/>
      <c r="BI183" s="302"/>
      <c r="BJ183" s="302"/>
      <c r="BK183" s="302"/>
      <c r="BL183" s="302"/>
      <c r="BM183" s="302"/>
      <c r="BN183" s="302"/>
      <c r="BO183" s="302"/>
      <c r="BP183" s="302"/>
      <c r="BQ183" s="302"/>
      <c r="BR183" s="302"/>
      <c r="BS183" s="302"/>
      <c r="BT183" s="302"/>
      <c r="BU183" s="302"/>
    </row>
    <row r="184" spans="1:73">
      <c r="A184" s="325"/>
      <c r="B184" s="394"/>
      <c r="C184" s="570"/>
      <c r="D184" s="572"/>
      <c r="E184" s="572"/>
      <c r="F184" s="395">
        <f t="shared" si="94"/>
        <v>0</v>
      </c>
      <c r="G184" s="382"/>
      <c r="H184" s="396">
        <f t="shared" si="92"/>
        <v>1744</v>
      </c>
      <c r="I184" s="396">
        <v>1744</v>
      </c>
      <c r="J184" s="397"/>
      <c r="K184" s="570"/>
      <c r="L184" s="399">
        <f t="shared" si="95"/>
        <v>0</v>
      </c>
      <c r="M184" s="395">
        <f t="shared" si="96"/>
        <v>0</v>
      </c>
      <c r="N184" s="400">
        <f t="shared" si="97"/>
        <v>0</v>
      </c>
      <c r="O184" s="365"/>
      <c r="P184" s="401">
        <f t="shared" si="108"/>
        <v>0</v>
      </c>
      <c r="Q184" s="302"/>
      <c r="R184" s="302"/>
      <c r="S184" s="302"/>
      <c r="T184" s="302"/>
      <c r="U184" s="302"/>
      <c r="V184" s="302"/>
      <c r="W184" s="302"/>
      <c r="X184" s="302"/>
      <c r="Y184" s="302"/>
      <c r="Z184" s="302"/>
      <c r="AA184" s="302"/>
      <c r="AB184" s="302"/>
      <c r="AC184" s="302"/>
      <c r="AD184" s="302"/>
      <c r="AE184" s="302"/>
      <c r="AF184" s="302"/>
      <c r="AG184" s="391">
        <v>0</v>
      </c>
      <c r="AH184" s="392">
        <v>0</v>
      </c>
      <c r="AI184" s="392">
        <v>0</v>
      </c>
      <c r="AJ184" s="392">
        <v>0</v>
      </c>
      <c r="AK184" s="392">
        <v>0</v>
      </c>
      <c r="AL184" s="392">
        <v>0</v>
      </c>
      <c r="AM184" s="392">
        <v>0</v>
      </c>
      <c r="AN184" s="392">
        <v>0</v>
      </c>
      <c r="AO184" s="392">
        <v>0</v>
      </c>
      <c r="AP184" s="393">
        <v>0</v>
      </c>
      <c r="AQ184" s="391">
        <f t="shared" si="98"/>
        <v>0</v>
      </c>
      <c r="AR184" s="392">
        <f t="shared" si="99"/>
        <v>0</v>
      </c>
      <c r="AS184" s="392">
        <f t="shared" si="100"/>
        <v>0</v>
      </c>
      <c r="AT184" s="392">
        <f t="shared" si="101"/>
        <v>0</v>
      </c>
      <c r="AU184" s="392">
        <f t="shared" si="102"/>
        <v>0</v>
      </c>
      <c r="AV184" s="392">
        <f t="shared" si="103"/>
        <v>0</v>
      </c>
      <c r="AW184" s="392">
        <f t="shared" si="104"/>
        <v>0</v>
      </c>
      <c r="AX184" s="392">
        <f t="shared" si="105"/>
        <v>0</v>
      </c>
      <c r="AY184" s="392">
        <f t="shared" si="106"/>
        <v>0</v>
      </c>
      <c r="AZ184" s="393">
        <f t="shared" si="107"/>
        <v>0</v>
      </c>
      <c r="BA184" s="302"/>
      <c r="BB184" s="302"/>
      <c r="BC184" s="302"/>
      <c r="BD184" s="302"/>
      <c r="BE184" s="302"/>
      <c r="BF184" s="302"/>
      <c r="BG184" s="302"/>
      <c r="BH184" s="302"/>
      <c r="BI184" s="302"/>
      <c r="BJ184" s="302"/>
      <c r="BK184" s="302"/>
      <c r="BL184" s="302"/>
      <c r="BM184" s="302"/>
      <c r="BN184" s="302"/>
      <c r="BO184" s="302"/>
      <c r="BP184" s="302"/>
      <c r="BQ184" s="302"/>
      <c r="BR184" s="302"/>
      <c r="BS184" s="302"/>
      <c r="BT184" s="302"/>
      <c r="BU184" s="302"/>
    </row>
    <row r="185" spans="1:73">
      <c r="A185" s="325"/>
      <c r="B185" s="394"/>
      <c r="C185" s="570" t="s">
        <v>534</v>
      </c>
      <c r="D185" s="572">
        <v>11.1</v>
      </c>
      <c r="E185" s="572">
        <v>9.4510000000000005</v>
      </c>
      <c r="F185" s="395">
        <f t="shared" si="94"/>
        <v>1.75</v>
      </c>
      <c r="G185" s="382">
        <v>1800</v>
      </c>
      <c r="H185" s="396">
        <f t="shared" ref="H185:H222" si="109">IF((SUM(AQ185:AZ185))&gt;I185,SUM(AQ185:AZ185),I185)</f>
        <v>1745</v>
      </c>
      <c r="I185" s="396">
        <v>1745</v>
      </c>
      <c r="J185" s="397"/>
      <c r="K185" s="570">
        <v>600</v>
      </c>
      <c r="L185" s="399">
        <f t="shared" si="95"/>
        <v>4.4509500000000006</v>
      </c>
      <c r="M185" s="395">
        <f t="shared" si="96"/>
        <v>4.4550000000000001</v>
      </c>
      <c r="N185" s="400">
        <f t="shared" si="97"/>
        <v>2.2628571428571429</v>
      </c>
      <c r="O185" s="365"/>
      <c r="P185" s="401">
        <f t="shared" si="108"/>
        <v>0</v>
      </c>
      <c r="Q185" s="302"/>
      <c r="R185" s="302"/>
      <c r="S185" s="302"/>
      <c r="T185" s="302"/>
      <c r="U185" s="302"/>
      <c r="V185" s="302"/>
      <c r="W185" s="302"/>
      <c r="X185" s="302"/>
      <c r="Y185" s="302"/>
      <c r="Z185" s="302"/>
      <c r="AA185" s="302"/>
      <c r="AB185" s="302"/>
      <c r="AC185" s="302"/>
      <c r="AD185" s="302"/>
      <c r="AE185" s="302"/>
      <c r="AF185" s="302"/>
      <c r="AG185" s="391">
        <v>0</v>
      </c>
      <c r="AH185" s="392">
        <v>0</v>
      </c>
      <c r="AI185" s="392">
        <v>0</v>
      </c>
      <c r="AJ185" s="392">
        <v>0</v>
      </c>
      <c r="AK185" s="392">
        <v>0</v>
      </c>
      <c r="AL185" s="392">
        <v>0</v>
      </c>
      <c r="AM185" s="392">
        <v>0</v>
      </c>
      <c r="AN185" s="392">
        <v>0</v>
      </c>
      <c r="AO185" s="392">
        <v>0</v>
      </c>
      <c r="AP185" s="393">
        <v>0</v>
      </c>
      <c r="AQ185" s="391">
        <f t="shared" si="98"/>
        <v>0</v>
      </c>
      <c r="AR185" s="392">
        <f t="shared" si="99"/>
        <v>0</v>
      </c>
      <c r="AS185" s="392">
        <f t="shared" si="100"/>
        <v>0</v>
      </c>
      <c r="AT185" s="392">
        <f t="shared" si="101"/>
        <v>0</v>
      </c>
      <c r="AU185" s="392">
        <f t="shared" si="102"/>
        <v>0</v>
      </c>
      <c r="AV185" s="392">
        <f t="shared" si="103"/>
        <v>0</v>
      </c>
      <c r="AW185" s="392">
        <f t="shared" si="104"/>
        <v>0</v>
      </c>
      <c r="AX185" s="392">
        <f t="shared" si="105"/>
        <v>0</v>
      </c>
      <c r="AY185" s="392">
        <f t="shared" si="106"/>
        <v>0</v>
      </c>
      <c r="AZ185" s="393">
        <f t="shared" si="107"/>
        <v>0</v>
      </c>
      <c r="BA185" s="302"/>
      <c r="BB185" s="302"/>
      <c r="BC185" s="302"/>
      <c r="BD185" s="302"/>
      <c r="BE185" s="302"/>
      <c r="BF185" s="302"/>
      <c r="BG185" s="302"/>
      <c r="BH185" s="302"/>
      <c r="BI185" s="302"/>
      <c r="BJ185" s="302"/>
      <c r="BK185" s="302"/>
      <c r="BL185" s="302"/>
      <c r="BM185" s="302"/>
      <c r="BN185" s="302"/>
      <c r="BO185" s="302"/>
      <c r="BP185" s="302"/>
      <c r="BQ185" s="302"/>
      <c r="BR185" s="302"/>
      <c r="BS185" s="302"/>
      <c r="BT185" s="302"/>
      <c r="BU185" s="302"/>
    </row>
    <row r="186" spans="1:73">
      <c r="A186" s="325"/>
      <c r="B186" s="394"/>
      <c r="C186" s="570" t="s">
        <v>146</v>
      </c>
      <c r="D186" s="572">
        <v>11.6</v>
      </c>
      <c r="E186" s="572">
        <v>9.3140000000000001</v>
      </c>
      <c r="F186" s="395">
        <f t="shared" si="94"/>
        <v>2.5</v>
      </c>
      <c r="G186" s="382">
        <v>1800</v>
      </c>
      <c r="H186" s="396">
        <f t="shared" si="109"/>
        <v>1746</v>
      </c>
      <c r="I186" s="396">
        <v>1746</v>
      </c>
      <c r="J186" s="397"/>
      <c r="K186" s="570">
        <v>600</v>
      </c>
      <c r="L186" s="399">
        <f t="shared" si="95"/>
        <v>6.3585000000000003</v>
      </c>
      <c r="M186" s="395">
        <f t="shared" si="96"/>
        <v>6.3642857142857148</v>
      </c>
      <c r="N186" s="400">
        <f t="shared" si="97"/>
        <v>2.2628571428571429</v>
      </c>
      <c r="O186" s="365"/>
      <c r="P186" s="401">
        <f t="shared" si="108"/>
        <v>0</v>
      </c>
      <c r="Q186" s="302"/>
      <c r="R186" s="302"/>
      <c r="S186" s="302"/>
      <c r="T186" s="302"/>
      <c r="U186" s="302"/>
      <c r="V186" s="302"/>
      <c r="W186" s="302"/>
      <c r="X186" s="302"/>
      <c r="Y186" s="302"/>
      <c r="Z186" s="302"/>
      <c r="AA186" s="302"/>
      <c r="AB186" s="302"/>
      <c r="AC186" s="302"/>
      <c r="AD186" s="302"/>
      <c r="AE186" s="302"/>
      <c r="AF186" s="302"/>
      <c r="AG186" s="391">
        <v>0</v>
      </c>
      <c r="AH186" s="392">
        <v>0</v>
      </c>
      <c r="AI186" s="392">
        <v>0</v>
      </c>
      <c r="AJ186" s="392">
        <v>0</v>
      </c>
      <c r="AK186" s="392">
        <v>0</v>
      </c>
      <c r="AL186" s="392">
        <v>0</v>
      </c>
      <c r="AM186" s="392">
        <v>0</v>
      </c>
      <c r="AN186" s="392">
        <v>0</v>
      </c>
      <c r="AO186" s="392">
        <v>0</v>
      </c>
      <c r="AP186" s="393">
        <v>0</v>
      </c>
      <c r="AQ186" s="391">
        <f t="shared" si="98"/>
        <v>0</v>
      </c>
      <c r="AR186" s="392">
        <f t="shared" si="99"/>
        <v>0</v>
      </c>
      <c r="AS186" s="392">
        <f t="shared" si="100"/>
        <v>0</v>
      </c>
      <c r="AT186" s="392">
        <f t="shared" si="101"/>
        <v>0</v>
      </c>
      <c r="AU186" s="392">
        <f t="shared" si="102"/>
        <v>0</v>
      </c>
      <c r="AV186" s="392">
        <f t="shared" si="103"/>
        <v>0</v>
      </c>
      <c r="AW186" s="392">
        <f t="shared" si="104"/>
        <v>0</v>
      </c>
      <c r="AX186" s="392">
        <f t="shared" si="105"/>
        <v>0</v>
      </c>
      <c r="AY186" s="392">
        <f t="shared" si="106"/>
        <v>0</v>
      </c>
      <c r="AZ186" s="393">
        <f t="shared" si="107"/>
        <v>0</v>
      </c>
      <c r="BA186" s="302"/>
      <c r="BB186" s="302"/>
      <c r="BC186" s="302"/>
      <c r="BD186" s="302"/>
      <c r="BE186" s="302"/>
      <c r="BF186" s="302"/>
      <c r="BG186" s="302"/>
      <c r="BH186" s="302"/>
      <c r="BI186" s="302"/>
      <c r="BJ186" s="302"/>
      <c r="BK186" s="302"/>
      <c r="BL186" s="302"/>
      <c r="BM186" s="302"/>
      <c r="BN186" s="302"/>
      <c r="BO186" s="302"/>
      <c r="BP186" s="302"/>
      <c r="BQ186" s="302"/>
      <c r="BR186" s="302"/>
      <c r="BS186" s="302"/>
      <c r="BT186" s="302"/>
      <c r="BU186" s="302"/>
    </row>
    <row r="187" spans="1:73">
      <c r="A187" s="325"/>
      <c r="B187" s="394"/>
      <c r="C187" s="570"/>
      <c r="D187" s="572"/>
      <c r="E187" s="572"/>
      <c r="F187" s="395">
        <f t="shared" si="94"/>
        <v>0</v>
      </c>
      <c r="G187" s="382"/>
      <c r="H187" s="396">
        <f t="shared" si="109"/>
        <v>1747</v>
      </c>
      <c r="I187" s="396">
        <v>1747</v>
      </c>
      <c r="J187" s="397"/>
      <c r="K187" s="570"/>
      <c r="L187" s="399">
        <f t="shared" si="95"/>
        <v>0</v>
      </c>
      <c r="M187" s="395">
        <f t="shared" si="96"/>
        <v>0</v>
      </c>
      <c r="N187" s="400">
        <f t="shared" si="97"/>
        <v>0</v>
      </c>
      <c r="O187" s="365"/>
      <c r="P187" s="401">
        <f t="shared" si="108"/>
        <v>0</v>
      </c>
      <c r="Q187" s="302"/>
      <c r="R187" s="302"/>
      <c r="S187" s="302"/>
      <c r="T187" s="302"/>
      <c r="U187" s="302"/>
      <c r="V187" s="302"/>
      <c r="W187" s="302"/>
      <c r="X187" s="302"/>
      <c r="Y187" s="302"/>
      <c r="Z187" s="302"/>
      <c r="AA187" s="302"/>
      <c r="AB187" s="302"/>
      <c r="AC187" s="302"/>
      <c r="AD187" s="302"/>
      <c r="AE187" s="302"/>
      <c r="AF187" s="302"/>
      <c r="AG187" s="391">
        <v>0</v>
      </c>
      <c r="AH187" s="392">
        <v>0</v>
      </c>
      <c r="AI187" s="392">
        <v>0</v>
      </c>
      <c r="AJ187" s="392">
        <v>0</v>
      </c>
      <c r="AK187" s="392">
        <v>0</v>
      </c>
      <c r="AL187" s="392">
        <v>0</v>
      </c>
      <c r="AM187" s="392">
        <v>0</v>
      </c>
      <c r="AN187" s="392">
        <v>0</v>
      </c>
      <c r="AO187" s="392">
        <v>0</v>
      </c>
      <c r="AP187" s="393">
        <v>0</v>
      </c>
      <c r="AQ187" s="391">
        <f t="shared" si="98"/>
        <v>0</v>
      </c>
      <c r="AR187" s="392">
        <f t="shared" si="99"/>
        <v>0</v>
      </c>
      <c r="AS187" s="392">
        <f t="shared" si="100"/>
        <v>0</v>
      </c>
      <c r="AT187" s="392">
        <f t="shared" si="101"/>
        <v>0</v>
      </c>
      <c r="AU187" s="392">
        <f t="shared" si="102"/>
        <v>0</v>
      </c>
      <c r="AV187" s="392">
        <f t="shared" si="103"/>
        <v>0</v>
      </c>
      <c r="AW187" s="392">
        <f t="shared" si="104"/>
        <v>0</v>
      </c>
      <c r="AX187" s="392">
        <f t="shared" si="105"/>
        <v>0</v>
      </c>
      <c r="AY187" s="392">
        <f t="shared" si="106"/>
        <v>0</v>
      </c>
      <c r="AZ187" s="393">
        <f t="shared" si="107"/>
        <v>0</v>
      </c>
      <c r="BA187" s="302"/>
      <c r="BB187" s="302"/>
      <c r="BC187" s="302"/>
      <c r="BD187" s="302"/>
      <c r="BE187" s="302"/>
      <c r="BF187" s="302"/>
      <c r="BG187" s="302"/>
      <c r="BH187" s="302"/>
      <c r="BI187" s="302"/>
      <c r="BJ187" s="302"/>
      <c r="BK187" s="302"/>
      <c r="BL187" s="302"/>
      <c r="BM187" s="302"/>
      <c r="BN187" s="302"/>
      <c r="BO187" s="302"/>
      <c r="BP187" s="302"/>
      <c r="BQ187" s="302"/>
      <c r="BR187" s="302"/>
      <c r="BS187" s="302"/>
      <c r="BT187" s="302"/>
      <c r="BU187" s="302"/>
    </row>
    <row r="188" spans="1:73">
      <c r="A188" s="325"/>
      <c r="B188" s="394"/>
      <c r="C188" s="570" t="s">
        <v>145</v>
      </c>
      <c r="D188" s="572">
        <v>11.3</v>
      </c>
      <c r="E188" s="572">
        <v>9.1890000000000001</v>
      </c>
      <c r="F188" s="395">
        <f t="shared" si="77"/>
        <v>2.25</v>
      </c>
      <c r="G188" s="382">
        <v>1800</v>
      </c>
      <c r="H188" s="396">
        <f t="shared" si="109"/>
        <v>8060</v>
      </c>
      <c r="I188" s="396">
        <v>1748</v>
      </c>
      <c r="J188" s="397"/>
      <c r="K188" s="570">
        <v>900</v>
      </c>
      <c r="L188" s="399">
        <f t="shared" si="78"/>
        <v>5.7226499999999998</v>
      </c>
      <c r="M188" s="395">
        <f t="shared" si="79"/>
        <v>5.7278571428571432</v>
      </c>
      <c r="N188" s="400">
        <f t="shared" si="80"/>
        <v>2.2628571428571429</v>
      </c>
      <c r="O188" s="365"/>
      <c r="P188" s="401">
        <f t="shared" si="108"/>
        <v>0</v>
      </c>
      <c r="Q188" s="302"/>
      <c r="R188" s="302"/>
      <c r="S188" s="302"/>
      <c r="T188" s="302"/>
      <c r="U188" s="302"/>
      <c r="V188" s="302"/>
      <c r="W188" s="302"/>
      <c r="X188" s="302"/>
      <c r="Y188" s="302"/>
      <c r="Z188" s="302"/>
      <c r="AA188" s="302"/>
      <c r="AB188" s="302"/>
      <c r="AC188" s="302"/>
      <c r="AD188" s="302"/>
      <c r="AE188" s="302"/>
      <c r="AF188" s="302"/>
      <c r="AG188" s="391">
        <v>0</v>
      </c>
      <c r="AH188" s="392">
        <v>0</v>
      </c>
      <c r="AI188" s="392">
        <v>0</v>
      </c>
      <c r="AJ188" s="392">
        <v>0</v>
      </c>
      <c r="AK188" s="392">
        <v>6925</v>
      </c>
      <c r="AL188" s="392">
        <v>8060</v>
      </c>
      <c r="AM188" s="392">
        <v>9950</v>
      </c>
      <c r="AN188" s="392">
        <v>12265.203099319089</v>
      </c>
      <c r="AO188" s="392">
        <v>13315</v>
      </c>
      <c r="AP188" s="393">
        <v>0</v>
      </c>
      <c r="AQ188" s="391">
        <f t="shared" si="82"/>
        <v>0</v>
      </c>
      <c r="AR188" s="392">
        <f t="shared" si="83"/>
        <v>0</v>
      </c>
      <c r="AS188" s="392">
        <f t="shared" si="84"/>
        <v>0</v>
      </c>
      <c r="AT188" s="392">
        <f t="shared" si="85"/>
        <v>0</v>
      </c>
      <c r="AU188" s="392">
        <f t="shared" si="86"/>
        <v>0</v>
      </c>
      <c r="AV188" s="392">
        <f t="shared" si="87"/>
        <v>8060</v>
      </c>
      <c r="AW188" s="392">
        <f t="shared" si="88"/>
        <v>0</v>
      </c>
      <c r="AX188" s="392">
        <f t="shared" si="89"/>
        <v>0</v>
      </c>
      <c r="AY188" s="392">
        <f t="shared" si="90"/>
        <v>0</v>
      </c>
      <c r="AZ188" s="393">
        <f t="shared" si="91"/>
        <v>0</v>
      </c>
      <c r="BA188" s="302"/>
      <c r="BB188" s="302"/>
      <c r="BC188" s="302"/>
      <c r="BD188" s="302"/>
      <c r="BE188" s="302"/>
      <c r="BF188" s="302"/>
      <c r="BG188" s="302"/>
      <c r="BH188" s="302"/>
      <c r="BI188" s="302"/>
      <c r="BJ188" s="302"/>
      <c r="BK188" s="302"/>
      <c r="BL188" s="302"/>
      <c r="BM188" s="302"/>
      <c r="BN188" s="302"/>
      <c r="BO188" s="302"/>
      <c r="BP188" s="302"/>
      <c r="BQ188" s="302"/>
      <c r="BR188" s="302"/>
      <c r="BS188" s="302"/>
      <c r="BT188" s="302"/>
      <c r="BU188" s="302"/>
    </row>
    <row r="189" spans="1:73">
      <c r="A189" s="325"/>
      <c r="B189" s="394"/>
      <c r="C189" s="570"/>
      <c r="D189" s="572"/>
      <c r="E189" s="572"/>
      <c r="F189" s="395">
        <f t="shared" si="77"/>
        <v>0</v>
      </c>
      <c r="G189" s="382"/>
      <c r="H189" s="396">
        <f t="shared" si="109"/>
        <v>1749</v>
      </c>
      <c r="I189" s="396">
        <v>1749</v>
      </c>
      <c r="J189" s="397"/>
      <c r="K189" s="570"/>
      <c r="L189" s="399">
        <f t="shared" si="78"/>
        <v>0</v>
      </c>
      <c r="M189" s="395">
        <f t="shared" si="79"/>
        <v>0</v>
      </c>
      <c r="N189" s="400">
        <f t="shared" si="80"/>
        <v>0</v>
      </c>
      <c r="O189" s="365"/>
      <c r="P189" s="401">
        <f t="shared" si="108"/>
        <v>0</v>
      </c>
      <c r="Q189" s="302"/>
      <c r="R189" s="302"/>
      <c r="S189" s="302"/>
      <c r="T189" s="302"/>
      <c r="U189" s="302"/>
      <c r="V189" s="302"/>
      <c r="W189" s="302"/>
      <c r="X189" s="302"/>
      <c r="Y189" s="302"/>
      <c r="Z189" s="302"/>
      <c r="AA189" s="302"/>
      <c r="AB189" s="302"/>
      <c r="AC189" s="302"/>
      <c r="AD189" s="302"/>
      <c r="AE189" s="302"/>
      <c r="AF189" s="302"/>
      <c r="AG189" s="391">
        <v>0</v>
      </c>
      <c r="AH189" s="392">
        <v>0</v>
      </c>
      <c r="AI189" s="392">
        <v>0</v>
      </c>
      <c r="AJ189" s="392">
        <v>0</v>
      </c>
      <c r="AK189" s="392">
        <v>6925</v>
      </c>
      <c r="AL189" s="392">
        <v>8060</v>
      </c>
      <c r="AM189" s="392">
        <v>9950</v>
      </c>
      <c r="AN189" s="392">
        <v>12265.203099319089</v>
      </c>
      <c r="AO189" s="392">
        <v>13315</v>
      </c>
      <c r="AP189" s="393">
        <v>0</v>
      </c>
      <c r="AQ189" s="391">
        <f t="shared" si="82"/>
        <v>0</v>
      </c>
      <c r="AR189" s="392">
        <f t="shared" si="83"/>
        <v>0</v>
      </c>
      <c r="AS189" s="392">
        <f t="shared" si="84"/>
        <v>0</v>
      </c>
      <c r="AT189" s="392">
        <f t="shared" si="85"/>
        <v>0</v>
      </c>
      <c r="AU189" s="392">
        <f t="shared" si="86"/>
        <v>0</v>
      </c>
      <c r="AV189" s="392">
        <f t="shared" si="87"/>
        <v>0</v>
      </c>
      <c r="AW189" s="392">
        <f t="shared" si="88"/>
        <v>0</v>
      </c>
      <c r="AX189" s="392">
        <f t="shared" si="89"/>
        <v>0</v>
      </c>
      <c r="AY189" s="392">
        <f t="shared" si="90"/>
        <v>0</v>
      </c>
      <c r="AZ189" s="393">
        <f t="shared" si="91"/>
        <v>0</v>
      </c>
      <c r="BA189" s="302"/>
      <c r="BB189" s="302"/>
      <c r="BC189" s="302"/>
      <c r="BD189" s="302"/>
      <c r="BE189" s="302"/>
      <c r="BF189" s="302"/>
      <c r="BG189" s="302"/>
      <c r="BH189" s="302"/>
      <c r="BI189" s="302"/>
      <c r="BJ189" s="302"/>
      <c r="BK189" s="302"/>
      <c r="BL189" s="302"/>
      <c r="BM189" s="302"/>
      <c r="BN189" s="302"/>
      <c r="BO189" s="302"/>
      <c r="BP189" s="302"/>
      <c r="BQ189" s="302"/>
      <c r="BR189" s="302"/>
      <c r="BS189" s="302"/>
      <c r="BT189" s="302"/>
      <c r="BU189" s="302"/>
    </row>
    <row r="190" spans="1:73">
      <c r="A190" s="325"/>
      <c r="B190" s="394"/>
      <c r="C190" s="570" t="s">
        <v>147</v>
      </c>
      <c r="D190" s="572">
        <v>11.2</v>
      </c>
      <c r="E190" s="572">
        <v>9.5640000000000001</v>
      </c>
      <c r="F190" s="395">
        <f t="shared" si="77"/>
        <v>1.75</v>
      </c>
      <c r="G190" s="382">
        <v>1200</v>
      </c>
      <c r="H190" s="396">
        <f t="shared" si="109"/>
        <v>5550</v>
      </c>
      <c r="I190" s="396">
        <v>1750</v>
      </c>
      <c r="J190" s="397"/>
      <c r="K190" s="570">
        <v>300</v>
      </c>
      <c r="L190" s="399">
        <f t="shared" si="78"/>
        <v>1.9782000000000002</v>
      </c>
      <c r="M190" s="395">
        <f t="shared" si="79"/>
        <v>1.98</v>
      </c>
      <c r="N190" s="400">
        <f t="shared" si="80"/>
        <v>2.2628571428571429</v>
      </c>
      <c r="O190" s="365"/>
      <c r="P190" s="401">
        <f t="shared" si="108"/>
        <v>0</v>
      </c>
      <c r="Q190" s="302"/>
      <c r="R190" s="302"/>
      <c r="S190" s="302"/>
      <c r="T190" s="302"/>
      <c r="U190" s="302"/>
      <c r="V190" s="302"/>
      <c r="W190" s="302"/>
      <c r="X190" s="302"/>
      <c r="Y190" s="302"/>
      <c r="Z190" s="302"/>
      <c r="AA190" s="302"/>
      <c r="AB190" s="302"/>
      <c r="AC190" s="302"/>
      <c r="AD190" s="302"/>
      <c r="AE190" s="302"/>
      <c r="AF190" s="302"/>
      <c r="AG190" s="391">
        <v>0</v>
      </c>
      <c r="AH190" s="392">
        <v>0</v>
      </c>
      <c r="AI190" s="392">
        <v>5550</v>
      </c>
      <c r="AJ190" s="392">
        <v>6662</v>
      </c>
      <c r="AK190" s="392">
        <v>6525</v>
      </c>
      <c r="AL190" s="392">
        <v>7480</v>
      </c>
      <c r="AM190" s="392">
        <v>9234</v>
      </c>
      <c r="AN190" s="392">
        <v>11382.601549659545</v>
      </c>
      <c r="AO190" s="392">
        <v>12015</v>
      </c>
      <c r="AP190" s="393">
        <v>13015</v>
      </c>
      <c r="AQ190" s="391">
        <f t="shared" si="82"/>
        <v>0</v>
      </c>
      <c r="AR190" s="392">
        <f t="shared" si="83"/>
        <v>0</v>
      </c>
      <c r="AS190" s="392">
        <f t="shared" si="84"/>
        <v>5550</v>
      </c>
      <c r="AT190" s="392">
        <f t="shared" si="85"/>
        <v>0</v>
      </c>
      <c r="AU190" s="392">
        <f t="shared" si="86"/>
        <v>0</v>
      </c>
      <c r="AV190" s="392">
        <f t="shared" si="87"/>
        <v>0</v>
      </c>
      <c r="AW190" s="392">
        <f t="shared" si="88"/>
        <v>0</v>
      </c>
      <c r="AX190" s="392">
        <f t="shared" si="89"/>
        <v>0</v>
      </c>
      <c r="AY190" s="392">
        <f t="shared" si="90"/>
        <v>0</v>
      </c>
      <c r="AZ190" s="393">
        <f t="shared" si="91"/>
        <v>0</v>
      </c>
      <c r="BA190" s="302"/>
      <c r="BB190" s="302"/>
      <c r="BC190" s="302"/>
      <c r="BD190" s="302"/>
      <c r="BE190" s="302"/>
      <c r="BF190" s="302"/>
      <c r="BG190" s="302"/>
      <c r="BH190" s="302"/>
      <c r="BI190" s="302"/>
      <c r="BJ190" s="302"/>
      <c r="BK190" s="302"/>
      <c r="BL190" s="302"/>
      <c r="BM190" s="302"/>
      <c r="BN190" s="302"/>
      <c r="BO190" s="302"/>
      <c r="BP190" s="302"/>
      <c r="BQ190" s="302"/>
      <c r="BR190" s="302"/>
      <c r="BS190" s="302"/>
      <c r="BT190" s="302"/>
      <c r="BU190" s="302"/>
    </row>
    <row r="191" spans="1:73">
      <c r="A191" s="325"/>
      <c r="B191" s="394"/>
      <c r="C191" s="570" t="s">
        <v>533</v>
      </c>
      <c r="D191" s="572">
        <v>11.13</v>
      </c>
      <c r="E191" s="572">
        <v>9.3040000000000003</v>
      </c>
      <c r="F191" s="395">
        <f t="shared" si="77"/>
        <v>2</v>
      </c>
      <c r="G191" s="382">
        <v>1200</v>
      </c>
      <c r="H191" s="396">
        <f t="shared" si="109"/>
        <v>4575</v>
      </c>
      <c r="I191" s="396">
        <v>1751</v>
      </c>
      <c r="J191" s="397"/>
      <c r="K191" s="570">
        <v>300</v>
      </c>
      <c r="L191" s="399">
        <f t="shared" si="78"/>
        <v>2.2608000000000001</v>
      </c>
      <c r="M191" s="395">
        <f t="shared" si="79"/>
        <v>2.2628571428571429</v>
      </c>
      <c r="N191" s="400">
        <f t="shared" si="80"/>
        <v>2.2628571428571429</v>
      </c>
      <c r="O191" s="365"/>
      <c r="P191" s="401">
        <f t="shared" si="108"/>
        <v>0</v>
      </c>
      <c r="Q191" s="302"/>
      <c r="R191" s="302"/>
      <c r="S191" s="302"/>
      <c r="T191" s="302"/>
      <c r="U191" s="302"/>
      <c r="V191" s="302"/>
      <c r="W191" s="302"/>
      <c r="X191" s="302"/>
      <c r="Y191" s="302"/>
      <c r="Z191" s="302"/>
      <c r="AA191" s="302"/>
      <c r="AB191" s="302"/>
      <c r="AC191" s="302"/>
      <c r="AD191" s="302"/>
      <c r="AE191" s="302"/>
      <c r="AF191" s="302"/>
      <c r="AG191" s="391">
        <v>0</v>
      </c>
      <c r="AH191" s="392">
        <v>0</v>
      </c>
      <c r="AI191" s="392">
        <v>4575</v>
      </c>
      <c r="AJ191" s="392">
        <v>5090</v>
      </c>
      <c r="AK191" s="392">
        <v>5725</v>
      </c>
      <c r="AL191" s="392">
        <v>6320</v>
      </c>
      <c r="AM191" s="392">
        <v>7750</v>
      </c>
      <c r="AN191" s="392">
        <v>8945</v>
      </c>
      <c r="AO191" s="392">
        <v>9415</v>
      </c>
      <c r="AP191" s="393">
        <v>10415</v>
      </c>
      <c r="AQ191" s="391">
        <f t="shared" si="82"/>
        <v>0</v>
      </c>
      <c r="AR191" s="392">
        <f t="shared" si="83"/>
        <v>0</v>
      </c>
      <c r="AS191" s="392">
        <f t="shared" si="84"/>
        <v>4575</v>
      </c>
      <c r="AT191" s="392">
        <f t="shared" si="85"/>
        <v>0</v>
      </c>
      <c r="AU191" s="392">
        <f t="shared" si="86"/>
        <v>0</v>
      </c>
      <c r="AV191" s="392">
        <f t="shared" si="87"/>
        <v>0</v>
      </c>
      <c r="AW191" s="392">
        <f t="shared" si="88"/>
        <v>0</v>
      </c>
      <c r="AX191" s="392">
        <f t="shared" si="89"/>
        <v>0</v>
      </c>
      <c r="AY191" s="392">
        <f t="shared" si="90"/>
        <v>0</v>
      </c>
      <c r="AZ191" s="393">
        <f t="shared" si="91"/>
        <v>0</v>
      </c>
      <c r="BA191" s="302"/>
      <c r="BB191" s="302"/>
      <c r="BC191" s="302"/>
      <c r="BD191" s="302"/>
      <c r="BE191" s="302"/>
      <c r="BF191" s="302"/>
      <c r="BG191" s="302"/>
      <c r="BH191" s="302"/>
      <c r="BI191" s="302"/>
      <c r="BJ191" s="302"/>
      <c r="BK191" s="302"/>
      <c r="BL191" s="302"/>
      <c r="BM191" s="302"/>
      <c r="BN191" s="302"/>
      <c r="BO191" s="302"/>
      <c r="BP191" s="302"/>
      <c r="BQ191" s="302"/>
      <c r="BR191" s="302"/>
      <c r="BS191" s="302"/>
      <c r="BT191" s="302"/>
      <c r="BU191" s="302"/>
    </row>
    <row r="192" spans="1:73">
      <c r="A192" s="325"/>
      <c r="B192" s="394"/>
      <c r="C192" s="570"/>
      <c r="D192" s="572"/>
      <c r="E192" s="572"/>
      <c r="F192" s="395">
        <f t="shared" si="77"/>
        <v>0</v>
      </c>
      <c r="G192" s="382"/>
      <c r="H192" s="396">
        <f t="shared" si="109"/>
        <v>1752</v>
      </c>
      <c r="I192" s="396">
        <v>1752</v>
      </c>
      <c r="J192" s="397"/>
      <c r="K192" s="570"/>
      <c r="L192" s="399">
        <f t="shared" si="78"/>
        <v>0</v>
      </c>
      <c r="M192" s="395">
        <f t="shared" si="79"/>
        <v>0</v>
      </c>
      <c r="N192" s="400">
        <f t="shared" si="80"/>
        <v>0</v>
      </c>
      <c r="O192" s="365"/>
      <c r="P192" s="401">
        <f t="shared" si="108"/>
        <v>0</v>
      </c>
      <c r="Q192" s="302"/>
      <c r="R192" s="302"/>
      <c r="S192" s="302"/>
      <c r="T192" s="302"/>
      <c r="U192" s="302"/>
      <c r="V192" s="302"/>
      <c r="W192" s="302"/>
      <c r="X192" s="302"/>
      <c r="Y192" s="302"/>
      <c r="Z192" s="302"/>
      <c r="AA192" s="302"/>
      <c r="AB192" s="302"/>
      <c r="AC192" s="302"/>
      <c r="AD192" s="302"/>
      <c r="AE192" s="302"/>
      <c r="AF192" s="302"/>
      <c r="AG192" s="391">
        <v>0</v>
      </c>
      <c r="AH192" s="392">
        <v>0</v>
      </c>
      <c r="AI192" s="392">
        <v>3890</v>
      </c>
      <c r="AJ192" s="392">
        <v>4345</v>
      </c>
      <c r="AK192" s="392">
        <v>4940</v>
      </c>
      <c r="AL192" s="392">
        <v>4440</v>
      </c>
      <c r="AM192" s="392">
        <v>5403</v>
      </c>
      <c r="AN192" s="392">
        <v>6956</v>
      </c>
      <c r="AO192" s="392">
        <v>8300</v>
      </c>
      <c r="AP192" s="393">
        <v>9030</v>
      </c>
      <c r="AQ192" s="391">
        <f t="shared" si="82"/>
        <v>0</v>
      </c>
      <c r="AR192" s="392">
        <f t="shared" si="83"/>
        <v>0</v>
      </c>
      <c r="AS192" s="392">
        <f t="shared" si="84"/>
        <v>0</v>
      </c>
      <c r="AT192" s="392">
        <f t="shared" si="85"/>
        <v>0</v>
      </c>
      <c r="AU192" s="392">
        <f t="shared" si="86"/>
        <v>0</v>
      </c>
      <c r="AV192" s="392">
        <f t="shared" si="87"/>
        <v>0</v>
      </c>
      <c r="AW192" s="392">
        <f t="shared" si="88"/>
        <v>0</v>
      </c>
      <c r="AX192" s="392">
        <f t="shared" si="89"/>
        <v>0</v>
      </c>
      <c r="AY192" s="392">
        <f t="shared" si="90"/>
        <v>0</v>
      </c>
      <c r="AZ192" s="393">
        <f t="shared" si="91"/>
        <v>0</v>
      </c>
      <c r="BA192" s="302"/>
      <c r="BB192" s="302"/>
      <c r="BC192" s="302"/>
      <c r="BD192" s="302"/>
      <c r="BE192" s="302"/>
      <c r="BF192" s="302"/>
      <c r="BG192" s="302"/>
      <c r="BH192" s="302"/>
      <c r="BI192" s="302"/>
      <c r="BJ192" s="302"/>
      <c r="BK192" s="302"/>
      <c r="BL192" s="302"/>
      <c r="BM192" s="302"/>
      <c r="BN192" s="302"/>
      <c r="BO192" s="302"/>
      <c r="BP192" s="302"/>
      <c r="BQ192" s="302"/>
      <c r="BR192" s="302"/>
      <c r="BS192" s="302"/>
      <c r="BT192" s="302"/>
      <c r="BU192" s="302"/>
    </row>
    <row r="193" spans="1:73">
      <c r="A193" s="325"/>
      <c r="B193" s="394"/>
      <c r="C193" s="570" t="s">
        <v>144</v>
      </c>
      <c r="D193" s="572">
        <v>10.7</v>
      </c>
      <c r="E193" s="572">
        <v>8.4930000000000003</v>
      </c>
      <c r="F193" s="395">
        <f t="shared" si="77"/>
        <v>2.25</v>
      </c>
      <c r="G193" s="382">
        <v>1800</v>
      </c>
      <c r="H193" s="396">
        <f t="shared" si="109"/>
        <v>4168</v>
      </c>
      <c r="I193" s="396">
        <v>1753</v>
      </c>
      <c r="J193" s="397"/>
      <c r="K193" s="570">
        <v>900</v>
      </c>
      <c r="L193" s="399">
        <f t="shared" si="78"/>
        <v>5.7226499999999998</v>
      </c>
      <c r="M193" s="395">
        <f t="shared" si="79"/>
        <v>5.7278571428571432</v>
      </c>
      <c r="N193" s="400">
        <f t="shared" si="80"/>
        <v>2.2628571428571429</v>
      </c>
      <c r="O193" s="365"/>
      <c r="P193" s="401">
        <f t="shared" si="108"/>
        <v>0</v>
      </c>
      <c r="Q193" s="302"/>
      <c r="R193" s="302"/>
      <c r="S193" s="302"/>
      <c r="T193" s="302"/>
      <c r="U193" s="302"/>
      <c r="V193" s="302"/>
      <c r="W193" s="302"/>
      <c r="X193" s="302"/>
      <c r="Y193" s="302"/>
      <c r="Z193" s="302"/>
      <c r="AA193" s="302"/>
      <c r="AB193" s="302"/>
      <c r="AC193" s="302"/>
      <c r="AD193" s="302"/>
      <c r="AE193" s="302"/>
      <c r="AF193" s="302"/>
      <c r="AG193" s="391">
        <v>0</v>
      </c>
      <c r="AH193" s="392">
        <v>0</v>
      </c>
      <c r="AI193" s="392">
        <v>2370</v>
      </c>
      <c r="AJ193" s="392">
        <v>2590</v>
      </c>
      <c r="AK193" s="392">
        <v>3370</v>
      </c>
      <c r="AL193" s="392">
        <v>4168</v>
      </c>
      <c r="AM193" s="392">
        <v>5072</v>
      </c>
      <c r="AN193" s="392">
        <v>6409</v>
      </c>
      <c r="AO193" s="392">
        <v>7770</v>
      </c>
      <c r="AP193" s="393">
        <v>10436</v>
      </c>
      <c r="AQ193" s="391">
        <f t="shared" si="82"/>
        <v>0</v>
      </c>
      <c r="AR193" s="392">
        <f t="shared" si="83"/>
        <v>0</v>
      </c>
      <c r="AS193" s="392">
        <f t="shared" si="84"/>
        <v>0</v>
      </c>
      <c r="AT193" s="392">
        <f t="shared" si="85"/>
        <v>0</v>
      </c>
      <c r="AU193" s="392">
        <f t="shared" si="86"/>
        <v>0</v>
      </c>
      <c r="AV193" s="392">
        <f t="shared" si="87"/>
        <v>4168</v>
      </c>
      <c r="AW193" s="392">
        <f t="shared" si="88"/>
        <v>0</v>
      </c>
      <c r="AX193" s="392">
        <f t="shared" si="89"/>
        <v>0</v>
      </c>
      <c r="AY193" s="392">
        <f t="shared" si="90"/>
        <v>0</v>
      </c>
      <c r="AZ193" s="393">
        <f t="shared" si="91"/>
        <v>0</v>
      </c>
      <c r="BA193" s="302"/>
      <c r="BB193" s="302"/>
      <c r="BC193" s="302"/>
      <c r="BD193" s="302"/>
      <c r="BE193" s="302"/>
      <c r="BF193" s="302"/>
      <c r="BG193" s="302"/>
      <c r="BH193" s="302"/>
      <c r="BI193" s="302"/>
      <c r="BJ193" s="302"/>
      <c r="BK193" s="302"/>
      <c r="BL193" s="302"/>
      <c r="BM193" s="302"/>
      <c r="BN193" s="302"/>
      <c r="BO193" s="302"/>
      <c r="BP193" s="302"/>
      <c r="BQ193" s="302"/>
      <c r="BR193" s="302"/>
      <c r="BS193" s="302"/>
      <c r="BT193" s="302"/>
      <c r="BU193" s="302"/>
    </row>
    <row r="194" spans="1:73">
      <c r="A194" s="325"/>
      <c r="B194" s="394">
        <v>1</v>
      </c>
      <c r="C194" s="570"/>
      <c r="D194" s="572"/>
      <c r="E194" s="572"/>
      <c r="F194" s="395">
        <f t="shared" si="77"/>
        <v>0</v>
      </c>
      <c r="G194" s="382"/>
      <c r="H194" s="396">
        <f t="shared" si="109"/>
        <v>1754</v>
      </c>
      <c r="I194" s="396">
        <v>1754</v>
      </c>
      <c r="J194" s="397"/>
      <c r="K194" s="570"/>
      <c r="L194" s="399">
        <f t="shared" si="78"/>
        <v>0</v>
      </c>
      <c r="M194" s="395">
        <f t="shared" si="79"/>
        <v>0</v>
      </c>
      <c r="N194" s="400">
        <f t="shared" si="80"/>
        <v>0</v>
      </c>
      <c r="O194" s="365"/>
      <c r="P194" s="401">
        <f t="shared" si="108"/>
        <v>0</v>
      </c>
      <c r="Q194" s="302"/>
      <c r="R194" s="302"/>
      <c r="S194" s="302"/>
      <c r="T194" s="302"/>
      <c r="U194" s="302"/>
      <c r="V194" s="302"/>
      <c r="W194" s="302"/>
      <c r="X194" s="302"/>
      <c r="Y194" s="302"/>
      <c r="Z194" s="302"/>
      <c r="AA194" s="302"/>
      <c r="AB194" s="302"/>
      <c r="AC194" s="302"/>
      <c r="AD194" s="302"/>
      <c r="AE194" s="302"/>
      <c r="AF194" s="302"/>
      <c r="AG194" s="391">
        <v>0</v>
      </c>
      <c r="AH194" s="392">
        <v>0</v>
      </c>
      <c r="AI194" s="392">
        <v>2060</v>
      </c>
      <c r="AJ194" s="392">
        <v>2390</v>
      </c>
      <c r="AK194" s="392">
        <v>2890</v>
      </c>
      <c r="AL194" s="392">
        <v>3385</v>
      </c>
      <c r="AM194" s="392">
        <v>4120</v>
      </c>
      <c r="AN194" s="392">
        <v>6101</v>
      </c>
      <c r="AO194" s="392">
        <v>6820</v>
      </c>
      <c r="AP194" s="393">
        <v>9160</v>
      </c>
      <c r="AQ194" s="391">
        <f t="shared" si="82"/>
        <v>0</v>
      </c>
      <c r="AR194" s="392">
        <f t="shared" si="83"/>
        <v>0</v>
      </c>
      <c r="AS194" s="392">
        <f t="shared" si="84"/>
        <v>0</v>
      </c>
      <c r="AT194" s="392">
        <f t="shared" si="85"/>
        <v>0</v>
      </c>
      <c r="AU194" s="392">
        <f t="shared" si="86"/>
        <v>0</v>
      </c>
      <c r="AV194" s="392">
        <f t="shared" si="87"/>
        <v>0</v>
      </c>
      <c r="AW194" s="392">
        <f t="shared" si="88"/>
        <v>0</v>
      </c>
      <c r="AX194" s="392">
        <f t="shared" si="89"/>
        <v>0</v>
      </c>
      <c r="AY194" s="392">
        <f t="shared" si="90"/>
        <v>0</v>
      </c>
      <c r="AZ194" s="393">
        <f t="shared" si="91"/>
        <v>0</v>
      </c>
      <c r="BA194" s="302"/>
      <c r="BB194" s="302"/>
      <c r="BC194" s="302"/>
      <c r="BD194" s="302"/>
      <c r="BE194" s="302"/>
      <c r="BF194" s="302"/>
      <c r="BG194" s="302"/>
      <c r="BH194" s="302"/>
      <c r="BI194" s="302"/>
      <c r="BJ194" s="302"/>
      <c r="BK194" s="302"/>
      <c r="BL194" s="302"/>
      <c r="BM194" s="302"/>
      <c r="BN194" s="302"/>
      <c r="BO194" s="302"/>
      <c r="BP194" s="302"/>
      <c r="BQ194" s="302"/>
      <c r="BR194" s="302"/>
      <c r="BS194" s="302"/>
      <c r="BT194" s="302"/>
      <c r="BU194" s="302"/>
    </row>
    <row r="195" spans="1:73" s="416" customFormat="1">
      <c r="A195" s="402"/>
      <c r="B195" s="403"/>
      <c r="C195" s="570" t="s">
        <v>532</v>
      </c>
      <c r="D195" s="572">
        <v>10.9</v>
      </c>
      <c r="E195" s="572">
        <v>9.3670000000000009</v>
      </c>
      <c r="F195" s="404">
        <f t="shared" si="77"/>
        <v>1.75</v>
      </c>
      <c r="G195" s="382">
        <v>1200</v>
      </c>
      <c r="H195" s="396">
        <f t="shared" si="109"/>
        <v>1755</v>
      </c>
      <c r="I195" s="396">
        <v>1755</v>
      </c>
      <c r="J195" s="406"/>
      <c r="K195" s="570">
        <v>300</v>
      </c>
      <c r="L195" s="407">
        <f t="shared" si="78"/>
        <v>1.9782000000000002</v>
      </c>
      <c r="M195" s="404">
        <f t="shared" si="79"/>
        <v>1.98</v>
      </c>
      <c r="N195" s="408">
        <f t="shared" si="80"/>
        <v>2.2628571428571429</v>
      </c>
      <c r="O195" s="409"/>
      <c r="P195" s="410">
        <f t="shared" si="108"/>
        <v>0</v>
      </c>
      <c r="Q195" s="411"/>
      <c r="R195" s="411"/>
      <c r="S195" s="411"/>
      <c r="T195" s="412"/>
      <c r="U195" s="412"/>
      <c r="V195" s="412"/>
      <c r="W195" s="412"/>
      <c r="X195" s="412"/>
      <c r="Y195" s="412"/>
      <c r="Z195" s="412"/>
      <c r="AA195" s="412"/>
      <c r="AB195" s="412"/>
      <c r="AC195" s="412"/>
      <c r="AD195" s="412"/>
      <c r="AE195" s="412"/>
      <c r="AF195" s="412"/>
      <c r="AG195" s="413">
        <v>0</v>
      </c>
      <c r="AH195" s="414">
        <v>0</v>
      </c>
      <c r="AI195" s="414">
        <v>0</v>
      </c>
      <c r="AJ195" s="414">
        <v>0</v>
      </c>
      <c r="AK195" s="414">
        <v>7075</v>
      </c>
      <c r="AL195" s="414">
        <v>8350</v>
      </c>
      <c r="AM195" s="414">
        <v>10308</v>
      </c>
      <c r="AN195" s="414">
        <v>12706.503874148862</v>
      </c>
      <c r="AO195" s="414">
        <v>13965</v>
      </c>
      <c r="AP195" s="415">
        <v>0</v>
      </c>
      <c r="AQ195" s="413">
        <f t="shared" si="82"/>
        <v>0</v>
      </c>
      <c r="AR195" s="414">
        <f t="shared" si="83"/>
        <v>0</v>
      </c>
      <c r="AS195" s="414">
        <f t="shared" si="84"/>
        <v>0</v>
      </c>
      <c r="AT195" s="414">
        <f t="shared" si="85"/>
        <v>0</v>
      </c>
      <c r="AU195" s="414">
        <f t="shared" si="86"/>
        <v>0</v>
      </c>
      <c r="AV195" s="414">
        <f t="shared" si="87"/>
        <v>0</v>
      </c>
      <c r="AW195" s="414">
        <f t="shared" si="88"/>
        <v>0</v>
      </c>
      <c r="AX195" s="414">
        <f t="shared" si="89"/>
        <v>0</v>
      </c>
      <c r="AY195" s="414">
        <f t="shared" si="90"/>
        <v>0</v>
      </c>
      <c r="AZ195" s="415">
        <f t="shared" si="91"/>
        <v>0</v>
      </c>
      <c r="BA195" s="412"/>
      <c r="BB195" s="412"/>
      <c r="BC195" s="412"/>
      <c r="BD195" s="412"/>
      <c r="BE195" s="412"/>
      <c r="BF195" s="412"/>
      <c r="BG195" s="412"/>
      <c r="BH195" s="412"/>
      <c r="BI195" s="412"/>
      <c r="BJ195" s="412"/>
      <c r="BK195" s="412"/>
      <c r="BL195" s="412"/>
      <c r="BM195" s="412"/>
      <c r="BN195" s="412"/>
      <c r="BO195" s="412"/>
      <c r="BP195" s="412"/>
      <c r="BQ195" s="412"/>
      <c r="BR195" s="412"/>
      <c r="BS195" s="412"/>
      <c r="BT195" s="412"/>
      <c r="BU195" s="412"/>
    </row>
    <row r="196" spans="1:73">
      <c r="A196" s="325"/>
      <c r="B196" s="394"/>
      <c r="C196" s="570" t="s">
        <v>149</v>
      </c>
      <c r="D196" s="572">
        <v>11.05</v>
      </c>
      <c r="E196" s="572">
        <v>9.2729999999999997</v>
      </c>
      <c r="F196" s="395">
        <f t="shared" si="77"/>
        <v>2</v>
      </c>
      <c r="G196" s="382">
        <v>1200</v>
      </c>
      <c r="H196" s="396">
        <f t="shared" si="109"/>
        <v>5065</v>
      </c>
      <c r="I196" s="396">
        <v>1756</v>
      </c>
      <c r="J196" s="397"/>
      <c r="K196" s="570">
        <v>300</v>
      </c>
      <c r="L196" s="399">
        <f t="shared" si="78"/>
        <v>2.2608000000000001</v>
      </c>
      <c r="M196" s="395">
        <f t="shared" si="79"/>
        <v>2.2628571428571429</v>
      </c>
      <c r="N196" s="400">
        <f t="shared" si="80"/>
        <v>2.2628571428571429</v>
      </c>
      <c r="O196" s="365"/>
      <c r="P196" s="401">
        <f t="shared" si="108"/>
        <v>0</v>
      </c>
      <c r="Q196" s="302"/>
      <c r="R196" s="302"/>
      <c r="S196" s="302"/>
      <c r="T196" s="302"/>
      <c r="U196" s="302"/>
      <c r="V196" s="302"/>
      <c r="W196" s="302"/>
      <c r="X196" s="302"/>
      <c r="Y196" s="302"/>
      <c r="Z196" s="302"/>
      <c r="AA196" s="302"/>
      <c r="AB196" s="302"/>
      <c r="AC196" s="302"/>
      <c r="AD196" s="302"/>
      <c r="AE196" s="302"/>
      <c r="AF196" s="302"/>
      <c r="AG196" s="391">
        <v>0</v>
      </c>
      <c r="AH196" s="392">
        <v>0</v>
      </c>
      <c r="AI196" s="392">
        <v>5065</v>
      </c>
      <c r="AJ196" s="392">
        <v>5690</v>
      </c>
      <c r="AK196" s="392">
        <v>6125</v>
      </c>
      <c r="AL196" s="392">
        <v>6900</v>
      </c>
      <c r="AM196" s="392">
        <v>8518</v>
      </c>
      <c r="AN196" s="392">
        <v>10500</v>
      </c>
      <c r="AO196" s="392">
        <v>10715</v>
      </c>
      <c r="AP196" s="393">
        <v>11715</v>
      </c>
      <c r="AQ196" s="391">
        <f t="shared" si="82"/>
        <v>0</v>
      </c>
      <c r="AR196" s="392">
        <f t="shared" si="83"/>
        <v>0</v>
      </c>
      <c r="AS196" s="392">
        <f t="shared" si="84"/>
        <v>5065</v>
      </c>
      <c r="AT196" s="392">
        <f t="shared" si="85"/>
        <v>0</v>
      </c>
      <c r="AU196" s="392">
        <f t="shared" si="86"/>
        <v>0</v>
      </c>
      <c r="AV196" s="392">
        <f t="shared" si="87"/>
        <v>0</v>
      </c>
      <c r="AW196" s="392">
        <f t="shared" si="88"/>
        <v>0</v>
      </c>
      <c r="AX196" s="392">
        <f t="shared" si="89"/>
        <v>0</v>
      </c>
      <c r="AY196" s="392">
        <f t="shared" si="90"/>
        <v>0</v>
      </c>
      <c r="AZ196" s="393">
        <f t="shared" si="91"/>
        <v>0</v>
      </c>
      <c r="BA196" s="302"/>
      <c r="BB196" s="302"/>
      <c r="BC196" s="302"/>
      <c r="BD196" s="302"/>
      <c r="BE196" s="302"/>
      <c r="BF196" s="302"/>
      <c r="BG196" s="302"/>
      <c r="BH196" s="302"/>
      <c r="BI196" s="302"/>
      <c r="BJ196" s="302"/>
      <c r="BK196" s="302"/>
      <c r="BL196" s="302"/>
      <c r="BM196" s="302"/>
      <c r="BN196" s="302"/>
      <c r="BO196" s="302"/>
      <c r="BP196" s="302"/>
      <c r="BQ196" s="302"/>
      <c r="BR196" s="302"/>
      <c r="BS196" s="302"/>
      <c r="BT196" s="302"/>
      <c r="BU196" s="302"/>
    </row>
    <row r="197" spans="1:73">
      <c r="A197" s="325"/>
      <c r="B197" s="394">
        <v>1</v>
      </c>
      <c r="C197" s="570" t="s">
        <v>148</v>
      </c>
      <c r="D197" s="572">
        <v>10.8</v>
      </c>
      <c r="E197" s="572">
        <v>9.141</v>
      </c>
      <c r="F197" s="395">
        <f t="shared" si="77"/>
        <v>1.75</v>
      </c>
      <c r="G197" s="382">
        <v>1200</v>
      </c>
      <c r="H197" s="396">
        <f t="shared" si="109"/>
        <v>2060</v>
      </c>
      <c r="I197" s="396">
        <v>1757</v>
      </c>
      <c r="J197" s="397"/>
      <c r="K197" s="570">
        <v>300</v>
      </c>
      <c r="L197" s="399">
        <f t="shared" si="78"/>
        <v>1.9782000000000002</v>
      </c>
      <c r="M197" s="395">
        <f t="shared" si="79"/>
        <v>1.98</v>
      </c>
      <c r="N197" s="400">
        <f t="shared" si="80"/>
        <v>2.2628571428571429</v>
      </c>
      <c r="O197" s="365"/>
      <c r="P197" s="401">
        <f t="shared" si="108"/>
        <v>0</v>
      </c>
      <c r="Q197" s="302"/>
      <c r="R197" s="302"/>
      <c r="S197" s="302"/>
      <c r="T197" s="302"/>
      <c r="U197" s="302"/>
      <c r="V197" s="302"/>
      <c r="W197" s="302"/>
      <c r="X197" s="302"/>
      <c r="Y197" s="302"/>
      <c r="Z197" s="302"/>
      <c r="AA197" s="302"/>
      <c r="AB197" s="302"/>
      <c r="AC197" s="302"/>
      <c r="AD197" s="302"/>
      <c r="AE197" s="302"/>
      <c r="AF197" s="302"/>
      <c r="AG197" s="391">
        <v>0</v>
      </c>
      <c r="AH197" s="392">
        <v>0</v>
      </c>
      <c r="AI197" s="392">
        <v>2060</v>
      </c>
      <c r="AJ197" s="392">
        <v>2390</v>
      </c>
      <c r="AK197" s="392">
        <v>2890</v>
      </c>
      <c r="AL197" s="392">
        <v>3385</v>
      </c>
      <c r="AM197" s="392">
        <v>4120</v>
      </c>
      <c r="AN197" s="392">
        <v>6101</v>
      </c>
      <c r="AO197" s="392">
        <v>6820</v>
      </c>
      <c r="AP197" s="393">
        <v>9160</v>
      </c>
      <c r="AQ197" s="391">
        <f t="shared" si="82"/>
        <v>0</v>
      </c>
      <c r="AR197" s="392">
        <f t="shared" si="83"/>
        <v>0</v>
      </c>
      <c r="AS197" s="392">
        <f t="shared" si="84"/>
        <v>2060</v>
      </c>
      <c r="AT197" s="392">
        <f t="shared" si="85"/>
        <v>0</v>
      </c>
      <c r="AU197" s="392">
        <f t="shared" si="86"/>
        <v>0</v>
      </c>
      <c r="AV197" s="392">
        <f t="shared" si="87"/>
        <v>0</v>
      </c>
      <c r="AW197" s="392">
        <f t="shared" si="88"/>
        <v>0</v>
      </c>
      <c r="AX197" s="392">
        <f t="shared" si="89"/>
        <v>0</v>
      </c>
      <c r="AY197" s="392">
        <f t="shared" si="90"/>
        <v>0</v>
      </c>
      <c r="AZ197" s="393">
        <f t="shared" si="91"/>
        <v>0</v>
      </c>
      <c r="BA197" s="302"/>
      <c r="BB197" s="302"/>
      <c r="BC197" s="302"/>
      <c r="BD197" s="302"/>
      <c r="BE197" s="302"/>
      <c r="BF197" s="302"/>
      <c r="BG197" s="302"/>
      <c r="BH197" s="302"/>
      <c r="BI197" s="302"/>
      <c r="BJ197" s="302"/>
      <c r="BK197" s="302"/>
      <c r="BL197" s="302"/>
      <c r="BM197" s="302"/>
      <c r="BN197" s="302"/>
      <c r="BO197" s="302"/>
      <c r="BP197" s="302"/>
      <c r="BQ197" s="302"/>
      <c r="BR197" s="302"/>
      <c r="BS197" s="302"/>
      <c r="BT197" s="302"/>
      <c r="BU197" s="302"/>
    </row>
    <row r="198" spans="1:73">
      <c r="A198" s="325"/>
      <c r="B198" s="394"/>
      <c r="C198" s="570"/>
      <c r="D198" s="572"/>
      <c r="E198" s="572"/>
      <c r="F198" s="395">
        <f t="shared" si="77"/>
        <v>0</v>
      </c>
      <c r="G198" s="382"/>
      <c r="H198" s="396">
        <f t="shared" si="109"/>
        <v>1758</v>
      </c>
      <c r="I198" s="396">
        <v>1758</v>
      </c>
      <c r="J198" s="397"/>
      <c r="K198" s="570"/>
      <c r="L198" s="399">
        <f t="shared" si="78"/>
        <v>0</v>
      </c>
      <c r="M198" s="395">
        <f t="shared" si="79"/>
        <v>0</v>
      </c>
      <c r="N198" s="400">
        <f t="shared" si="80"/>
        <v>0</v>
      </c>
      <c r="O198" s="365"/>
      <c r="P198" s="401">
        <f t="shared" si="108"/>
        <v>0</v>
      </c>
      <c r="Q198" s="302"/>
      <c r="R198" s="302"/>
      <c r="S198" s="302"/>
      <c r="T198" s="302"/>
      <c r="U198" s="302"/>
      <c r="V198" s="302"/>
      <c r="W198" s="302"/>
      <c r="X198" s="302"/>
      <c r="Y198" s="302"/>
      <c r="Z198" s="302"/>
      <c r="AA198" s="302"/>
      <c r="AB198" s="302"/>
      <c r="AC198" s="302"/>
      <c r="AD198" s="302"/>
      <c r="AE198" s="302"/>
      <c r="AF198" s="302"/>
      <c r="AG198" s="391">
        <v>0</v>
      </c>
      <c r="AH198" s="392">
        <v>0</v>
      </c>
      <c r="AI198" s="392">
        <v>3890</v>
      </c>
      <c r="AJ198" s="392">
        <v>4345</v>
      </c>
      <c r="AK198" s="392">
        <v>4940</v>
      </c>
      <c r="AL198" s="392">
        <v>4440</v>
      </c>
      <c r="AM198" s="392">
        <v>5403</v>
      </c>
      <c r="AN198" s="392">
        <v>6956</v>
      </c>
      <c r="AO198" s="392">
        <v>8300</v>
      </c>
      <c r="AP198" s="393">
        <v>9030</v>
      </c>
      <c r="AQ198" s="391">
        <f t="shared" si="82"/>
        <v>0</v>
      </c>
      <c r="AR198" s="392">
        <f t="shared" si="83"/>
        <v>0</v>
      </c>
      <c r="AS198" s="392">
        <f t="shared" si="84"/>
        <v>0</v>
      </c>
      <c r="AT198" s="392">
        <f t="shared" si="85"/>
        <v>0</v>
      </c>
      <c r="AU198" s="392">
        <f t="shared" si="86"/>
        <v>0</v>
      </c>
      <c r="AV198" s="392">
        <f t="shared" si="87"/>
        <v>0</v>
      </c>
      <c r="AW198" s="392">
        <f t="shared" si="88"/>
        <v>0</v>
      </c>
      <c r="AX198" s="392">
        <f t="shared" si="89"/>
        <v>0</v>
      </c>
      <c r="AY198" s="392">
        <f t="shared" si="90"/>
        <v>0</v>
      </c>
      <c r="AZ198" s="393">
        <f t="shared" si="91"/>
        <v>0</v>
      </c>
      <c r="BA198" s="302"/>
      <c r="BB198" s="302"/>
      <c r="BC198" s="302"/>
      <c r="BD198" s="302"/>
      <c r="BE198" s="302"/>
      <c r="BF198" s="302"/>
      <c r="BG198" s="302"/>
      <c r="BH198" s="302"/>
      <c r="BI198" s="302"/>
      <c r="BJ198" s="302"/>
      <c r="BK198" s="302"/>
      <c r="BL198" s="302"/>
      <c r="BM198" s="302"/>
      <c r="BN198" s="302"/>
      <c r="BO198" s="302"/>
      <c r="BP198" s="302"/>
      <c r="BQ198" s="302"/>
      <c r="BR198" s="302"/>
      <c r="BS198" s="302"/>
      <c r="BT198" s="302"/>
      <c r="BU198" s="302"/>
    </row>
    <row r="199" spans="1:73">
      <c r="A199" s="325"/>
      <c r="B199" s="394"/>
      <c r="C199" s="570" t="s">
        <v>143</v>
      </c>
      <c r="D199" s="572">
        <v>10.55</v>
      </c>
      <c r="E199" s="572">
        <v>8.3320000000000007</v>
      </c>
      <c r="F199" s="395">
        <f t="shared" si="77"/>
        <v>2.25</v>
      </c>
      <c r="G199" s="382">
        <v>1800</v>
      </c>
      <c r="H199" s="396">
        <f t="shared" si="109"/>
        <v>3385</v>
      </c>
      <c r="I199" s="396">
        <v>1759</v>
      </c>
      <c r="J199" s="397"/>
      <c r="K199" s="570">
        <v>900</v>
      </c>
      <c r="L199" s="399">
        <f t="shared" si="78"/>
        <v>5.7226499999999998</v>
      </c>
      <c r="M199" s="395">
        <f t="shared" si="79"/>
        <v>5.7278571428571432</v>
      </c>
      <c r="N199" s="400">
        <f t="shared" si="80"/>
        <v>2.2628571428571429</v>
      </c>
      <c r="O199" s="365"/>
      <c r="P199" s="401">
        <f t="shared" si="108"/>
        <v>0</v>
      </c>
      <c r="Q199" s="302"/>
      <c r="R199" s="302"/>
      <c r="S199" s="302"/>
      <c r="T199" s="302"/>
      <c r="U199" s="302"/>
      <c r="V199" s="302"/>
      <c r="W199" s="302"/>
      <c r="X199" s="302"/>
      <c r="Y199" s="302"/>
      <c r="Z199" s="302"/>
      <c r="AA199" s="302"/>
      <c r="AB199" s="302"/>
      <c r="AC199" s="302"/>
      <c r="AD199" s="302"/>
      <c r="AE199" s="302"/>
      <c r="AF199" s="302"/>
      <c r="AG199" s="391">
        <v>0</v>
      </c>
      <c r="AH199" s="392">
        <v>0</v>
      </c>
      <c r="AI199" s="392">
        <v>2060</v>
      </c>
      <c r="AJ199" s="392">
        <v>2390</v>
      </c>
      <c r="AK199" s="392">
        <v>2890</v>
      </c>
      <c r="AL199" s="392">
        <v>3385</v>
      </c>
      <c r="AM199" s="392">
        <v>4120</v>
      </c>
      <c r="AN199" s="392">
        <v>6101</v>
      </c>
      <c r="AO199" s="392">
        <v>6820</v>
      </c>
      <c r="AP199" s="393">
        <v>9160</v>
      </c>
      <c r="AQ199" s="391">
        <f t="shared" si="82"/>
        <v>0</v>
      </c>
      <c r="AR199" s="392">
        <f t="shared" si="83"/>
        <v>0</v>
      </c>
      <c r="AS199" s="392">
        <f t="shared" si="84"/>
        <v>0</v>
      </c>
      <c r="AT199" s="392">
        <f t="shared" si="85"/>
        <v>0</v>
      </c>
      <c r="AU199" s="392">
        <f t="shared" si="86"/>
        <v>0</v>
      </c>
      <c r="AV199" s="392">
        <f t="shared" si="87"/>
        <v>3385</v>
      </c>
      <c r="AW199" s="392">
        <f t="shared" si="88"/>
        <v>0</v>
      </c>
      <c r="AX199" s="392">
        <f t="shared" si="89"/>
        <v>0</v>
      </c>
      <c r="AY199" s="392">
        <f t="shared" si="90"/>
        <v>0</v>
      </c>
      <c r="AZ199" s="393">
        <f t="shared" si="91"/>
        <v>0</v>
      </c>
      <c r="BA199" s="302"/>
      <c r="BB199" s="302"/>
      <c r="BC199" s="302"/>
      <c r="BD199" s="302"/>
      <c r="BE199" s="302"/>
      <c r="BF199" s="302"/>
      <c r="BG199" s="302"/>
      <c r="BH199" s="302"/>
      <c r="BI199" s="302"/>
      <c r="BJ199" s="302"/>
      <c r="BK199" s="302"/>
      <c r="BL199" s="302"/>
      <c r="BM199" s="302"/>
      <c r="BN199" s="302"/>
      <c r="BO199" s="302"/>
      <c r="BP199" s="302"/>
      <c r="BQ199" s="302"/>
      <c r="BR199" s="302"/>
      <c r="BS199" s="302"/>
      <c r="BT199" s="302"/>
      <c r="BU199" s="302"/>
    </row>
    <row r="200" spans="1:73">
      <c r="A200" s="325"/>
      <c r="B200" s="394"/>
      <c r="C200" s="570" t="s">
        <v>531</v>
      </c>
      <c r="D200" s="572">
        <v>10.3</v>
      </c>
      <c r="E200" s="572">
        <v>8.2520000000000007</v>
      </c>
      <c r="F200" s="395">
        <f t="shared" si="77"/>
        <v>2.25</v>
      </c>
      <c r="G200" s="382">
        <v>1800</v>
      </c>
      <c r="H200" s="396">
        <f t="shared" si="109"/>
        <v>1760</v>
      </c>
      <c r="I200" s="396">
        <v>1760</v>
      </c>
      <c r="J200" s="397"/>
      <c r="K200" s="570">
        <v>900</v>
      </c>
      <c r="L200" s="399">
        <f t="shared" si="78"/>
        <v>5.7226499999999998</v>
      </c>
      <c r="M200" s="395">
        <f t="shared" si="79"/>
        <v>5.7278571428571432</v>
      </c>
      <c r="N200" s="400">
        <f t="shared" si="80"/>
        <v>2.2628571428571429</v>
      </c>
      <c r="O200" s="365"/>
      <c r="P200" s="401">
        <f t="shared" si="108"/>
        <v>0</v>
      </c>
      <c r="Q200" s="302"/>
      <c r="R200" s="302"/>
      <c r="S200" s="302"/>
      <c r="T200" s="302"/>
      <c r="U200" s="302"/>
      <c r="V200" s="302"/>
      <c r="W200" s="302"/>
      <c r="X200" s="302"/>
      <c r="Y200" s="302"/>
      <c r="Z200" s="302"/>
      <c r="AA200" s="302"/>
      <c r="AB200" s="302"/>
      <c r="AC200" s="302"/>
      <c r="AD200" s="302"/>
      <c r="AE200" s="302"/>
      <c r="AF200" s="302"/>
      <c r="AG200" s="391">
        <v>0</v>
      </c>
      <c r="AH200" s="392">
        <v>0</v>
      </c>
      <c r="AI200" s="392">
        <v>0</v>
      </c>
      <c r="AJ200" s="392">
        <v>0</v>
      </c>
      <c r="AK200" s="392">
        <v>0</v>
      </c>
      <c r="AL200" s="392">
        <v>0</v>
      </c>
      <c r="AM200" s="392">
        <v>0</v>
      </c>
      <c r="AN200" s="392">
        <v>0</v>
      </c>
      <c r="AO200" s="392">
        <v>0</v>
      </c>
      <c r="AP200" s="393">
        <v>0</v>
      </c>
      <c r="AQ200" s="391">
        <f t="shared" si="82"/>
        <v>0</v>
      </c>
      <c r="AR200" s="392">
        <f t="shared" si="83"/>
        <v>0</v>
      </c>
      <c r="AS200" s="392">
        <f t="shared" si="84"/>
        <v>0</v>
      </c>
      <c r="AT200" s="392">
        <f t="shared" si="85"/>
        <v>0</v>
      </c>
      <c r="AU200" s="392">
        <f t="shared" si="86"/>
        <v>0</v>
      </c>
      <c r="AV200" s="392">
        <f t="shared" si="87"/>
        <v>0</v>
      </c>
      <c r="AW200" s="392">
        <f t="shared" si="88"/>
        <v>0</v>
      </c>
      <c r="AX200" s="392">
        <f t="shared" si="89"/>
        <v>0</v>
      </c>
      <c r="AY200" s="392">
        <f t="shared" si="90"/>
        <v>0</v>
      </c>
      <c r="AZ200" s="393">
        <f t="shared" si="91"/>
        <v>0</v>
      </c>
      <c r="BA200" s="302"/>
      <c r="BB200" s="302"/>
      <c r="BC200" s="302"/>
      <c r="BD200" s="302"/>
      <c r="BE200" s="302"/>
      <c r="BF200" s="302"/>
      <c r="BG200" s="302"/>
      <c r="BH200" s="302"/>
      <c r="BI200" s="302"/>
      <c r="BJ200" s="302"/>
      <c r="BK200" s="302"/>
      <c r="BL200" s="302"/>
      <c r="BM200" s="302"/>
      <c r="BN200" s="302"/>
      <c r="BO200" s="302"/>
      <c r="BP200" s="302"/>
      <c r="BQ200" s="302"/>
      <c r="BR200" s="302"/>
      <c r="BS200" s="302"/>
      <c r="BT200" s="302"/>
      <c r="BU200" s="302"/>
    </row>
    <row r="201" spans="1:73">
      <c r="A201" s="325"/>
      <c r="B201" s="394"/>
      <c r="C201" s="570"/>
      <c r="D201" s="572"/>
      <c r="E201" s="572"/>
      <c r="F201" s="395">
        <f t="shared" si="77"/>
        <v>0</v>
      </c>
      <c r="G201" s="382"/>
      <c r="H201" s="396">
        <f t="shared" si="109"/>
        <v>1761</v>
      </c>
      <c r="I201" s="396">
        <v>1761</v>
      </c>
      <c r="J201" s="397"/>
      <c r="K201" s="570"/>
      <c r="L201" s="399">
        <f t="shared" si="78"/>
        <v>0</v>
      </c>
      <c r="M201" s="395">
        <f t="shared" si="79"/>
        <v>0</v>
      </c>
      <c r="N201" s="400">
        <f t="shared" si="80"/>
        <v>0</v>
      </c>
      <c r="O201" s="365"/>
      <c r="P201" s="401">
        <f t="shared" si="108"/>
        <v>0</v>
      </c>
      <c r="Q201" s="302"/>
      <c r="R201" s="302"/>
      <c r="S201" s="302"/>
      <c r="T201" s="302"/>
      <c r="U201" s="302"/>
      <c r="V201" s="302"/>
      <c r="W201" s="302"/>
      <c r="X201" s="302"/>
      <c r="Y201" s="302"/>
      <c r="Z201" s="302"/>
      <c r="AA201" s="302"/>
      <c r="AB201" s="302"/>
      <c r="AC201" s="302"/>
      <c r="AD201" s="302"/>
      <c r="AE201" s="302"/>
      <c r="AF201" s="302"/>
      <c r="AG201" s="391">
        <v>0</v>
      </c>
      <c r="AH201" s="392">
        <v>0</v>
      </c>
      <c r="AI201" s="392">
        <v>0</v>
      </c>
      <c r="AJ201" s="392">
        <v>0</v>
      </c>
      <c r="AK201" s="392">
        <v>7225</v>
      </c>
      <c r="AL201" s="392">
        <v>8640</v>
      </c>
      <c r="AM201" s="392">
        <v>10666</v>
      </c>
      <c r="AN201" s="392">
        <v>13147.804648978634</v>
      </c>
      <c r="AO201" s="392">
        <v>14615</v>
      </c>
      <c r="AP201" s="393">
        <v>0</v>
      </c>
      <c r="AQ201" s="391">
        <f t="shared" si="82"/>
        <v>0</v>
      </c>
      <c r="AR201" s="392">
        <f t="shared" si="83"/>
        <v>0</v>
      </c>
      <c r="AS201" s="392">
        <f t="shared" si="84"/>
        <v>0</v>
      </c>
      <c r="AT201" s="392">
        <f t="shared" si="85"/>
        <v>0</v>
      </c>
      <c r="AU201" s="392">
        <f t="shared" si="86"/>
        <v>0</v>
      </c>
      <c r="AV201" s="392">
        <f t="shared" si="87"/>
        <v>0</v>
      </c>
      <c r="AW201" s="392">
        <f t="shared" si="88"/>
        <v>0</v>
      </c>
      <c r="AX201" s="392">
        <f t="shared" si="89"/>
        <v>0</v>
      </c>
      <c r="AY201" s="392">
        <f t="shared" si="90"/>
        <v>0</v>
      </c>
      <c r="AZ201" s="393">
        <f t="shared" si="91"/>
        <v>0</v>
      </c>
      <c r="BA201" s="302"/>
      <c r="BB201" s="302"/>
      <c r="BC201" s="302"/>
      <c r="BD201" s="302"/>
      <c r="BE201" s="302"/>
      <c r="BF201" s="302"/>
      <c r="BG201" s="302"/>
      <c r="BH201" s="302"/>
      <c r="BI201" s="302"/>
      <c r="BJ201" s="302"/>
      <c r="BK201" s="302"/>
      <c r="BL201" s="302"/>
      <c r="BM201" s="302"/>
      <c r="BN201" s="302"/>
      <c r="BO201" s="302"/>
      <c r="BP201" s="302"/>
      <c r="BQ201" s="302"/>
      <c r="BR201" s="302"/>
      <c r="BS201" s="302"/>
      <c r="BT201" s="302"/>
      <c r="BU201" s="302"/>
    </row>
    <row r="202" spans="1:73">
      <c r="A202" s="325"/>
      <c r="B202" s="394"/>
      <c r="C202" s="570" t="s">
        <v>530</v>
      </c>
      <c r="D202" s="572">
        <v>9.9</v>
      </c>
      <c r="E202" s="572">
        <v>8.9179999999999993</v>
      </c>
      <c r="F202" s="395">
        <f t="shared" si="77"/>
        <v>1</v>
      </c>
      <c r="G202" s="382">
        <v>1200</v>
      </c>
      <c r="H202" s="396">
        <f t="shared" si="109"/>
        <v>1762</v>
      </c>
      <c r="I202" s="396">
        <v>1762</v>
      </c>
      <c r="J202" s="397"/>
      <c r="K202" s="570">
        <v>300</v>
      </c>
      <c r="L202" s="399">
        <f t="shared" si="78"/>
        <v>1.1304000000000001</v>
      </c>
      <c r="M202" s="395">
        <f t="shared" si="79"/>
        <v>1.1314285714285715</v>
      </c>
      <c r="N202" s="400">
        <f t="shared" si="80"/>
        <v>2.2628571428571429</v>
      </c>
      <c r="O202" s="365"/>
      <c r="P202" s="401">
        <f t="shared" si="108"/>
        <v>0</v>
      </c>
      <c r="Q202" s="302"/>
      <c r="R202" s="302"/>
      <c r="S202" s="302"/>
      <c r="T202" s="302"/>
      <c r="U202" s="302"/>
      <c r="V202" s="302"/>
      <c r="W202" s="302"/>
      <c r="X202" s="302"/>
      <c r="Y202" s="302"/>
      <c r="Z202" s="302"/>
      <c r="AA202" s="302"/>
      <c r="AB202" s="302"/>
      <c r="AC202" s="302"/>
      <c r="AD202" s="302"/>
      <c r="AE202" s="302"/>
      <c r="AF202" s="302"/>
      <c r="AG202" s="391">
        <v>0</v>
      </c>
      <c r="AH202" s="392">
        <v>0</v>
      </c>
      <c r="AI202" s="392">
        <v>0</v>
      </c>
      <c r="AJ202" s="392">
        <v>0</v>
      </c>
      <c r="AK202" s="392">
        <v>7075</v>
      </c>
      <c r="AL202" s="392">
        <v>8350</v>
      </c>
      <c r="AM202" s="392">
        <v>10308</v>
      </c>
      <c r="AN202" s="392">
        <v>12706.503874148862</v>
      </c>
      <c r="AO202" s="392">
        <v>13965</v>
      </c>
      <c r="AP202" s="393">
        <v>0</v>
      </c>
      <c r="AQ202" s="391">
        <f t="shared" si="82"/>
        <v>0</v>
      </c>
      <c r="AR202" s="392">
        <f t="shared" si="83"/>
        <v>0</v>
      </c>
      <c r="AS202" s="392">
        <f t="shared" si="84"/>
        <v>0</v>
      </c>
      <c r="AT202" s="392">
        <f t="shared" si="85"/>
        <v>0</v>
      </c>
      <c r="AU202" s="392">
        <f t="shared" si="86"/>
        <v>0</v>
      </c>
      <c r="AV202" s="392">
        <f t="shared" si="87"/>
        <v>0</v>
      </c>
      <c r="AW202" s="392">
        <f t="shared" si="88"/>
        <v>0</v>
      </c>
      <c r="AX202" s="392">
        <f t="shared" si="89"/>
        <v>0</v>
      </c>
      <c r="AY202" s="392">
        <f t="shared" si="90"/>
        <v>0</v>
      </c>
      <c r="AZ202" s="393">
        <f t="shared" si="91"/>
        <v>0</v>
      </c>
      <c r="BA202" s="302"/>
      <c r="BB202" s="302"/>
      <c r="BC202" s="302"/>
      <c r="BD202" s="302"/>
      <c r="BE202" s="302"/>
      <c r="BF202" s="302"/>
      <c r="BG202" s="302"/>
      <c r="BH202" s="302"/>
      <c r="BI202" s="302"/>
      <c r="BJ202" s="302"/>
      <c r="BK202" s="302"/>
      <c r="BL202" s="302"/>
      <c r="BM202" s="302"/>
      <c r="BN202" s="302"/>
      <c r="BO202" s="302"/>
      <c r="BP202" s="302"/>
      <c r="BQ202" s="302"/>
      <c r="BR202" s="302"/>
      <c r="BS202" s="302"/>
      <c r="BT202" s="302"/>
      <c r="BU202" s="302"/>
    </row>
    <row r="203" spans="1:73">
      <c r="A203" s="325"/>
      <c r="B203" s="394"/>
      <c r="C203" s="570"/>
      <c r="D203" s="572"/>
      <c r="E203" s="572"/>
      <c r="F203" s="395">
        <f t="shared" si="77"/>
        <v>0</v>
      </c>
      <c r="G203" s="382"/>
      <c r="H203" s="396">
        <f t="shared" si="109"/>
        <v>1763</v>
      </c>
      <c r="I203" s="396">
        <v>1763</v>
      </c>
      <c r="J203" s="397"/>
      <c r="K203" s="570"/>
      <c r="L203" s="399">
        <f t="shared" si="78"/>
        <v>0</v>
      </c>
      <c r="M203" s="395">
        <f t="shared" si="79"/>
        <v>0</v>
      </c>
      <c r="N203" s="400">
        <f t="shared" si="80"/>
        <v>0</v>
      </c>
      <c r="O203" s="365"/>
      <c r="P203" s="401">
        <f t="shared" si="108"/>
        <v>0</v>
      </c>
      <c r="Q203" s="302"/>
      <c r="R203" s="302"/>
      <c r="S203" s="302"/>
      <c r="T203" s="302"/>
      <c r="U203" s="302"/>
      <c r="V203" s="302"/>
      <c r="W203" s="302"/>
      <c r="X203" s="302"/>
      <c r="Y203" s="302"/>
      <c r="Z203" s="302"/>
      <c r="AA203" s="302"/>
      <c r="AB203" s="302"/>
      <c r="AC203" s="302"/>
      <c r="AD203" s="302"/>
      <c r="AE203" s="302"/>
      <c r="AF203" s="302"/>
      <c r="AG203" s="391">
        <v>0</v>
      </c>
      <c r="AH203" s="392">
        <v>0</v>
      </c>
      <c r="AI203" s="392">
        <v>5720</v>
      </c>
      <c r="AJ203" s="392">
        <v>7148</v>
      </c>
      <c r="AK203" s="392">
        <v>6725</v>
      </c>
      <c r="AL203" s="392">
        <v>7770</v>
      </c>
      <c r="AM203" s="392">
        <v>9592</v>
      </c>
      <c r="AN203" s="392">
        <v>11823.902324489318</v>
      </c>
      <c r="AO203" s="392">
        <v>12665</v>
      </c>
      <c r="AP203" s="393">
        <v>13665</v>
      </c>
      <c r="AQ203" s="391">
        <f t="shared" si="82"/>
        <v>0</v>
      </c>
      <c r="AR203" s="392">
        <f t="shared" si="83"/>
        <v>0</v>
      </c>
      <c r="AS203" s="392">
        <f t="shared" si="84"/>
        <v>0</v>
      </c>
      <c r="AT203" s="392">
        <f t="shared" si="85"/>
        <v>0</v>
      </c>
      <c r="AU203" s="392">
        <f t="shared" si="86"/>
        <v>0</v>
      </c>
      <c r="AV203" s="392">
        <f t="shared" si="87"/>
        <v>0</v>
      </c>
      <c r="AW203" s="392">
        <f t="shared" si="88"/>
        <v>0</v>
      </c>
      <c r="AX203" s="392">
        <f t="shared" si="89"/>
        <v>0</v>
      </c>
      <c r="AY203" s="392">
        <f t="shared" si="90"/>
        <v>0</v>
      </c>
      <c r="AZ203" s="393">
        <f t="shared" si="91"/>
        <v>0</v>
      </c>
      <c r="BA203" s="302"/>
      <c r="BB203" s="302"/>
      <c r="BC203" s="302"/>
      <c r="BD203" s="302"/>
      <c r="BE203" s="302"/>
      <c r="BF203" s="302"/>
      <c r="BG203" s="302"/>
      <c r="BH203" s="302"/>
      <c r="BI203" s="302"/>
      <c r="BJ203" s="302"/>
      <c r="BK203" s="302"/>
      <c r="BL203" s="302"/>
      <c r="BM203" s="302"/>
      <c r="BN203" s="302"/>
      <c r="BO203" s="302"/>
      <c r="BP203" s="302"/>
      <c r="BQ203" s="302"/>
      <c r="BR203" s="302"/>
      <c r="BS203" s="302"/>
      <c r="BT203" s="302"/>
      <c r="BU203" s="302"/>
    </row>
    <row r="204" spans="1:73">
      <c r="A204" s="325"/>
      <c r="B204" s="394"/>
      <c r="C204" s="570" t="s">
        <v>529</v>
      </c>
      <c r="D204" s="572">
        <v>10.45</v>
      </c>
      <c r="E204" s="572">
        <v>8.1769999999999996</v>
      </c>
      <c r="F204" s="395">
        <f t="shared" si="77"/>
        <v>2.5</v>
      </c>
      <c r="G204" s="382">
        <v>1800</v>
      </c>
      <c r="H204" s="396">
        <f t="shared" si="109"/>
        <v>6610</v>
      </c>
      <c r="I204" s="396">
        <v>1764</v>
      </c>
      <c r="J204" s="397"/>
      <c r="K204" s="570">
        <v>900</v>
      </c>
      <c r="L204" s="399">
        <f t="shared" si="78"/>
        <v>6.3585000000000003</v>
      </c>
      <c r="M204" s="395">
        <f t="shared" si="79"/>
        <v>6.3642857142857148</v>
      </c>
      <c r="N204" s="400">
        <f t="shared" si="80"/>
        <v>2.2628571428571429</v>
      </c>
      <c r="O204" s="365"/>
      <c r="P204" s="401">
        <f t="shared" si="108"/>
        <v>0</v>
      </c>
      <c r="Q204" s="302"/>
      <c r="R204" s="302"/>
      <c r="S204" s="302"/>
      <c r="T204" s="302"/>
      <c r="U204" s="302"/>
      <c r="V204" s="302"/>
      <c r="W204" s="302"/>
      <c r="X204" s="302"/>
      <c r="Y204" s="302"/>
      <c r="Z204" s="302"/>
      <c r="AA204" s="302"/>
      <c r="AB204" s="302"/>
      <c r="AC204" s="302"/>
      <c r="AD204" s="302"/>
      <c r="AE204" s="302"/>
      <c r="AF204" s="302"/>
      <c r="AG204" s="391">
        <v>0</v>
      </c>
      <c r="AH204" s="392">
        <v>0</v>
      </c>
      <c r="AI204" s="392">
        <v>4845</v>
      </c>
      <c r="AJ204" s="392">
        <v>5390</v>
      </c>
      <c r="AK204" s="392">
        <v>5925</v>
      </c>
      <c r="AL204" s="392">
        <v>6610</v>
      </c>
      <c r="AM204" s="392">
        <v>8160</v>
      </c>
      <c r="AN204" s="392">
        <v>9723</v>
      </c>
      <c r="AO204" s="392">
        <v>10065</v>
      </c>
      <c r="AP204" s="393">
        <v>11065</v>
      </c>
      <c r="AQ204" s="391">
        <f t="shared" si="82"/>
        <v>0</v>
      </c>
      <c r="AR204" s="392">
        <f t="shared" si="83"/>
        <v>0</v>
      </c>
      <c r="AS204" s="392">
        <f t="shared" si="84"/>
        <v>0</v>
      </c>
      <c r="AT204" s="392">
        <f t="shared" si="85"/>
        <v>0</v>
      </c>
      <c r="AU204" s="392">
        <f t="shared" si="86"/>
        <v>0</v>
      </c>
      <c r="AV204" s="392">
        <f t="shared" si="87"/>
        <v>6610</v>
      </c>
      <c r="AW204" s="392">
        <f t="shared" si="88"/>
        <v>0</v>
      </c>
      <c r="AX204" s="392">
        <f t="shared" si="89"/>
        <v>0</v>
      </c>
      <c r="AY204" s="392">
        <f t="shared" si="90"/>
        <v>0</v>
      </c>
      <c r="AZ204" s="393">
        <f t="shared" si="91"/>
        <v>0</v>
      </c>
      <c r="BA204" s="302"/>
      <c r="BB204" s="302"/>
      <c r="BC204" s="302"/>
      <c r="BD204" s="302"/>
      <c r="BE204" s="302"/>
      <c r="BF204" s="302"/>
      <c r="BG204" s="302"/>
      <c r="BH204" s="302"/>
      <c r="BI204" s="302"/>
      <c r="BJ204" s="302"/>
      <c r="BK204" s="302"/>
      <c r="BL204" s="302"/>
      <c r="BM204" s="302"/>
      <c r="BN204" s="302"/>
      <c r="BO204" s="302"/>
      <c r="BP204" s="302"/>
      <c r="BQ204" s="302"/>
      <c r="BR204" s="302"/>
      <c r="BS204" s="302"/>
      <c r="BT204" s="302"/>
      <c r="BU204" s="302"/>
    </row>
    <row r="205" spans="1:73">
      <c r="A205" s="325"/>
      <c r="B205" s="394">
        <v>1</v>
      </c>
      <c r="C205" s="570" t="s">
        <v>528</v>
      </c>
      <c r="D205" s="572">
        <v>10.15</v>
      </c>
      <c r="E205" s="572">
        <v>8.1180000000000003</v>
      </c>
      <c r="F205" s="395">
        <f t="shared" si="77"/>
        <v>2.25</v>
      </c>
      <c r="G205" s="382">
        <v>1800</v>
      </c>
      <c r="H205" s="396">
        <f t="shared" si="109"/>
        <v>4335</v>
      </c>
      <c r="I205" s="396">
        <v>1765</v>
      </c>
      <c r="J205" s="397"/>
      <c r="K205" s="570">
        <v>900</v>
      </c>
      <c r="L205" s="399">
        <f t="shared" si="78"/>
        <v>5.7226499999999998</v>
      </c>
      <c r="M205" s="395">
        <f t="shared" si="79"/>
        <v>5.7278571428571432</v>
      </c>
      <c r="N205" s="400">
        <f t="shared" si="80"/>
        <v>2.2628571428571429</v>
      </c>
      <c r="O205" s="365"/>
      <c r="P205" s="401">
        <f t="shared" si="108"/>
        <v>0</v>
      </c>
      <c r="Q205" s="302"/>
      <c r="R205" s="302"/>
      <c r="S205" s="302"/>
      <c r="T205" s="302"/>
      <c r="U205" s="302"/>
      <c r="V205" s="302"/>
      <c r="W205" s="302"/>
      <c r="X205" s="302"/>
      <c r="Y205" s="302"/>
      <c r="Z205" s="302"/>
      <c r="AA205" s="302"/>
      <c r="AB205" s="302"/>
      <c r="AC205" s="302"/>
      <c r="AD205" s="302"/>
      <c r="AE205" s="302"/>
      <c r="AF205" s="302"/>
      <c r="AG205" s="391">
        <v>0</v>
      </c>
      <c r="AH205" s="392">
        <v>0</v>
      </c>
      <c r="AI205" s="392">
        <v>2485</v>
      </c>
      <c r="AJ205" s="392">
        <v>2690</v>
      </c>
      <c r="AK205" s="392">
        <v>3505</v>
      </c>
      <c r="AL205" s="392">
        <v>4335</v>
      </c>
      <c r="AM205" s="392">
        <v>5276</v>
      </c>
      <c r="AN205" s="392">
        <v>6700</v>
      </c>
      <c r="AO205" s="392">
        <v>8015</v>
      </c>
      <c r="AP205" s="393">
        <v>8745</v>
      </c>
      <c r="AQ205" s="391">
        <f t="shared" si="82"/>
        <v>0</v>
      </c>
      <c r="AR205" s="392">
        <f t="shared" si="83"/>
        <v>0</v>
      </c>
      <c r="AS205" s="392">
        <f t="shared" si="84"/>
        <v>0</v>
      </c>
      <c r="AT205" s="392">
        <f t="shared" si="85"/>
        <v>0</v>
      </c>
      <c r="AU205" s="392">
        <f t="shared" si="86"/>
        <v>0</v>
      </c>
      <c r="AV205" s="392">
        <f t="shared" si="87"/>
        <v>4335</v>
      </c>
      <c r="AW205" s="392">
        <f t="shared" si="88"/>
        <v>0</v>
      </c>
      <c r="AX205" s="392">
        <f t="shared" si="89"/>
        <v>0</v>
      </c>
      <c r="AY205" s="392">
        <f t="shared" si="90"/>
        <v>0</v>
      </c>
      <c r="AZ205" s="393">
        <f t="shared" si="91"/>
        <v>0</v>
      </c>
      <c r="BA205" s="302"/>
      <c r="BB205" s="302"/>
      <c r="BC205" s="302"/>
      <c r="BD205" s="302"/>
      <c r="BE205" s="302"/>
      <c r="BF205" s="302"/>
      <c r="BG205" s="302"/>
      <c r="BH205" s="302"/>
      <c r="BI205" s="302"/>
      <c r="BJ205" s="302"/>
      <c r="BK205" s="302"/>
      <c r="BL205" s="302"/>
      <c r="BM205" s="302"/>
      <c r="BN205" s="302"/>
      <c r="BO205" s="302"/>
      <c r="BP205" s="302"/>
      <c r="BQ205" s="302"/>
      <c r="BR205" s="302"/>
      <c r="BS205" s="302"/>
      <c r="BT205" s="302"/>
      <c r="BU205" s="302"/>
    </row>
    <row r="206" spans="1:73">
      <c r="A206" s="325"/>
      <c r="B206" s="394"/>
      <c r="C206" s="570"/>
      <c r="D206" s="572"/>
      <c r="E206" s="572"/>
      <c r="F206" s="395">
        <f t="shared" si="77"/>
        <v>0</v>
      </c>
      <c r="G206" s="382"/>
      <c r="H206" s="396">
        <f t="shared" si="109"/>
        <v>1766</v>
      </c>
      <c r="I206" s="396">
        <v>1766</v>
      </c>
      <c r="J206" s="397"/>
      <c r="K206" s="570"/>
      <c r="L206" s="399">
        <f t="shared" si="78"/>
        <v>0</v>
      </c>
      <c r="M206" s="395">
        <f t="shared" si="79"/>
        <v>0</v>
      </c>
      <c r="N206" s="400">
        <f t="shared" si="80"/>
        <v>0</v>
      </c>
      <c r="O206" s="365"/>
      <c r="P206" s="401">
        <f t="shared" si="108"/>
        <v>0</v>
      </c>
      <c r="Q206" s="302"/>
      <c r="R206" s="302"/>
      <c r="S206" s="302"/>
      <c r="T206" s="302"/>
      <c r="U206" s="302"/>
      <c r="V206" s="302"/>
      <c r="W206" s="302"/>
      <c r="X206" s="302"/>
      <c r="Y206" s="302"/>
      <c r="Z206" s="302"/>
      <c r="AA206" s="302"/>
      <c r="AB206" s="302"/>
      <c r="AC206" s="302"/>
      <c r="AD206" s="302"/>
      <c r="AE206" s="302"/>
      <c r="AF206" s="302"/>
      <c r="AG206" s="391">
        <v>0</v>
      </c>
      <c r="AH206" s="392">
        <v>0</v>
      </c>
      <c r="AI206" s="392">
        <v>0</v>
      </c>
      <c r="AJ206" s="392">
        <v>0</v>
      </c>
      <c r="AK206" s="392">
        <v>7525</v>
      </c>
      <c r="AL206" s="392">
        <v>9220</v>
      </c>
      <c r="AM206" s="392">
        <v>11382</v>
      </c>
      <c r="AN206" s="392">
        <v>14030.406198638178</v>
      </c>
      <c r="AO206" s="392">
        <v>15915</v>
      </c>
      <c r="AP206" s="393">
        <v>0</v>
      </c>
      <c r="AQ206" s="391">
        <f t="shared" si="82"/>
        <v>0</v>
      </c>
      <c r="AR206" s="392">
        <f t="shared" si="83"/>
        <v>0</v>
      </c>
      <c r="AS206" s="392">
        <f t="shared" si="84"/>
        <v>0</v>
      </c>
      <c r="AT206" s="392">
        <f t="shared" si="85"/>
        <v>0</v>
      </c>
      <c r="AU206" s="392">
        <f t="shared" si="86"/>
        <v>0</v>
      </c>
      <c r="AV206" s="392">
        <f t="shared" si="87"/>
        <v>0</v>
      </c>
      <c r="AW206" s="392">
        <f t="shared" si="88"/>
        <v>0</v>
      </c>
      <c r="AX206" s="392">
        <f t="shared" si="89"/>
        <v>0</v>
      </c>
      <c r="AY206" s="392">
        <f t="shared" si="90"/>
        <v>0</v>
      </c>
      <c r="AZ206" s="393">
        <f t="shared" si="91"/>
        <v>0</v>
      </c>
      <c r="BA206" s="302"/>
      <c r="BB206" s="302"/>
      <c r="BC206" s="302"/>
      <c r="BD206" s="302"/>
      <c r="BE206" s="302"/>
      <c r="BF206" s="302"/>
      <c r="BG206" s="302"/>
      <c r="BH206" s="302"/>
      <c r="BI206" s="302"/>
      <c r="BJ206" s="302"/>
      <c r="BK206" s="302"/>
      <c r="BL206" s="302"/>
      <c r="BM206" s="302"/>
      <c r="BN206" s="302"/>
      <c r="BO206" s="302"/>
      <c r="BP206" s="302"/>
      <c r="BQ206" s="302"/>
      <c r="BR206" s="302"/>
      <c r="BS206" s="302"/>
      <c r="BT206" s="302"/>
      <c r="BU206" s="302"/>
    </row>
    <row r="207" spans="1:73">
      <c r="A207" s="325"/>
      <c r="B207" s="394"/>
      <c r="C207" s="570" t="s">
        <v>527</v>
      </c>
      <c r="D207" s="572">
        <v>9.94</v>
      </c>
      <c r="E207" s="572">
        <v>8.2080000000000002</v>
      </c>
      <c r="F207" s="395">
        <f t="shared" si="77"/>
        <v>1.75</v>
      </c>
      <c r="G207" s="382">
        <v>1200</v>
      </c>
      <c r="H207" s="396">
        <f t="shared" si="109"/>
        <v>1767</v>
      </c>
      <c r="I207" s="396">
        <v>1767</v>
      </c>
      <c r="J207" s="397"/>
      <c r="K207" s="570">
        <v>225</v>
      </c>
      <c r="L207" s="399">
        <f t="shared" si="78"/>
        <v>1.9782000000000002</v>
      </c>
      <c r="M207" s="395">
        <f t="shared" si="79"/>
        <v>1.98</v>
      </c>
      <c r="N207" s="400">
        <f t="shared" si="80"/>
        <v>2.2628571428571429</v>
      </c>
      <c r="O207" s="365"/>
      <c r="P207" s="401">
        <f t="shared" si="108"/>
        <v>0</v>
      </c>
      <c r="Q207" s="302"/>
      <c r="R207" s="302"/>
      <c r="S207" s="302"/>
      <c r="T207" s="302"/>
      <c r="U207" s="302"/>
      <c r="V207" s="302"/>
      <c r="W207" s="302"/>
      <c r="X207" s="302"/>
      <c r="Y207" s="302"/>
      <c r="Z207" s="302"/>
      <c r="AA207" s="302"/>
      <c r="AB207" s="302"/>
      <c r="AC207" s="302"/>
      <c r="AD207" s="302"/>
      <c r="AE207" s="302"/>
      <c r="AF207" s="302"/>
      <c r="AG207" s="391">
        <v>0</v>
      </c>
      <c r="AH207" s="392">
        <v>0</v>
      </c>
      <c r="AI207" s="392">
        <v>0</v>
      </c>
      <c r="AJ207" s="392">
        <v>0</v>
      </c>
      <c r="AK207" s="392">
        <v>7075</v>
      </c>
      <c r="AL207" s="392">
        <v>8350</v>
      </c>
      <c r="AM207" s="392">
        <v>10308</v>
      </c>
      <c r="AN207" s="392">
        <v>12706.503874148862</v>
      </c>
      <c r="AO207" s="392">
        <v>13965</v>
      </c>
      <c r="AP207" s="393">
        <v>0</v>
      </c>
      <c r="AQ207" s="391">
        <f t="shared" si="82"/>
        <v>0</v>
      </c>
      <c r="AR207" s="392">
        <f t="shared" si="83"/>
        <v>0</v>
      </c>
      <c r="AS207" s="392">
        <f t="shared" si="84"/>
        <v>0</v>
      </c>
      <c r="AT207" s="392">
        <f t="shared" si="85"/>
        <v>0</v>
      </c>
      <c r="AU207" s="392">
        <f t="shared" si="86"/>
        <v>0</v>
      </c>
      <c r="AV207" s="392">
        <f t="shared" si="87"/>
        <v>0</v>
      </c>
      <c r="AW207" s="392">
        <f t="shared" si="88"/>
        <v>0</v>
      </c>
      <c r="AX207" s="392">
        <f t="shared" si="89"/>
        <v>0</v>
      </c>
      <c r="AY207" s="392">
        <f t="shared" si="90"/>
        <v>0</v>
      </c>
      <c r="AZ207" s="393">
        <f t="shared" si="91"/>
        <v>0</v>
      </c>
      <c r="BA207" s="302"/>
      <c r="BB207" s="302"/>
      <c r="BC207" s="302"/>
      <c r="BD207" s="302"/>
      <c r="BE207" s="302"/>
      <c r="BF207" s="302"/>
      <c r="BG207" s="302"/>
      <c r="BH207" s="302"/>
      <c r="BI207" s="302"/>
      <c r="BJ207" s="302"/>
      <c r="BK207" s="302"/>
      <c r="BL207" s="302"/>
      <c r="BM207" s="302"/>
      <c r="BN207" s="302"/>
      <c r="BO207" s="302"/>
      <c r="BP207" s="302"/>
      <c r="BQ207" s="302"/>
      <c r="BR207" s="302"/>
      <c r="BS207" s="302"/>
      <c r="BT207" s="302"/>
      <c r="BU207" s="302"/>
    </row>
    <row r="208" spans="1:73">
      <c r="A208" s="325"/>
      <c r="B208" s="394"/>
      <c r="C208" s="570" t="s">
        <v>526</v>
      </c>
      <c r="D208" s="572">
        <v>9.6999999999999993</v>
      </c>
      <c r="E208" s="572">
        <v>8.09</v>
      </c>
      <c r="F208" s="395">
        <f t="shared" si="77"/>
        <v>1.75</v>
      </c>
      <c r="G208" s="382">
        <v>1200</v>
      </c>
      <c r="H208" s="396">
        <f t="shared" si="109"/>
        <v>2060</v>
      </c>
      <c r="I208" s="396">
        <v>1768</v>
      </c>
      <c r="J208" s="397"/>
      <c r="K208" s="570">
        <v>225</v>
      </c>
      <c r="L208" s="399">
        <f t="shared" si="78"/>
        <v>1.9782000000000002</v>
      </c>
      <c r="M208" s="395">
        <f t="shared" si="79"/>
        <v>1.98</v>
      </c>
      <c r="N208" s="400">
        <f t="shared" si="80"/>
        <v>2.2628571428571429</v>
      </c>
      <c r="O208" s="365"/>
      <c r="P208" s="401">
        <f t="shared" si="108"/>
        <v>0</v>
      </c>
      <c r="Q208" s="302"/>
      <c r="R208" s="302"/>
      <c r="S208" s="302"/>
      <c r="T208" s="302"/>
      <c r="U208" s="302"/>
      <c r="V208" s="302"/>
      <c r="W208" s="302"/>
      <c r="X208" s="302"/>
      <c r="Y208" s="302"/>
      <c r="Z208" s="302"/>
      <c r="AA208" s="302"/>
      <c r="AB208" s="302"/>
      <c r="AC208" s="302"/>
      <c r="AD208" s="302"/>
      <c r="AE208" s="302"/>
      <c r="AF208" s="302"/>
      <c r="AG208" s="391">
        <v>0</v>
      </c>
      <c r="AH208" s="392">
        <v>0</v>
      </c>
      <c r="AI208" s="392">
        <v>2060</v>
      </c>
      <c r="AJ208" s="392">
        <v>2390</v>
      </c>
      <c r="AK208" s="392">
        <v>2890</v>
      </c>
      <c r="AL208" s="392">
        <v>3385</v>
      </c>
      <c r="AM208" s="392">
        <v>4120</v>
      </c>
      <c r="AN208" s="392">
        <v>6101</v>
      </c>
      <c r="AO208" s="392">
        <v>6820</v>
      </c>
      <c r="AP208" s="393">
        <v>9160</v>
      </c>
      <c r="AQ208" s="391">
        <f t="shared" si="82"/>
        <v>0</v>
      </c>
      <c r="AR208" s="392">
        <f t="shared" si="83"/>
        <v>0</v>
      </c>
      <c r="AS208" s="392">
        <f t="shared" si="84"/>
        <v>2060</v>
      </c>
      <c r="AT208" s="392">
        <f t="shared" si="85"/>
        <v>0</v>
      </c>
      <c r="AU208" s="392">
        <f t="shared" si="86"/>
        <v>0</v>
      </c>
      <c r="AV208" s="392">
        <f t="shared" si="87"/>
        <v>0</v>
      </c>
      <c r="AW208" s="392">
        <f t="shared" si="88"/>
        <v>0</v>
      </c>
      <c r="AX208" s="392">
        <f t="shared" si="89"/>
        <v>0</v>
      </c>
      <c r="AY208" s="392">
        <f t="shared" si="90"/>
        <v>0</v>
      </c>
      <c r="AZ208" s="393">
        <f t="shared" si="91"/>
        <v>0</v>
      </c>
      <c r="BA208" s="302"/>
      <c r="BB208" s="302"/>
      <c r="BC208" s="302"/>
      <c r="BD208" s="302"/>
      <c r="BE208" s="302"/>
      <c r="BF208" s="302"/>
      <c r="BG208" s="302"/>
      <c r="BH208" s="302"/>
      <c r="BI208" s="302"/>
      <c r="BJ208" s="302"/>
      <c r="BK208" s="302"/>
      <c r="BL208" s="302"/>
      <c r="BM208" s="302"/>
      <c r="BN208" s="302"/>
      <c r="BO208" s="302"/>
      <c r="BP208" s="302"/>
      <c r="BQ208" s="302"/>
      <c r="BR208" s="302"/>
      <c r="BS208" s="302"/>
      <c r="BT208" s="302"/>
      <c r="BU208" s="302"/>
    </row>
    <row r="209" spans="1:73">
      <c r="A209" s="325"/>
      <c r="B209" s="394"/>
      <c r="C209" s="570"/>
      <c r="D209" s="572"/>
      <c r="E209" s="572"/>
      <c r="F209" s="395">
        <f t="shared" si="77"/>
        <v>0</v>
      </c>
      <c r="G209" s="382"/>
      <c r="H209" s="396">
        <f t="shared" si="109"/>
        <v>1769</v>
      </c>
      <c r="I209" s="396">
        <v>1769</v>
      </c>
      <c r="J209" s="397"/>
      <c r="K209" s="570"/>
      <c r="L209" s="399">
        <f t="shared" si="78"/>
        <v>0</v>
      </c>
      <c r="M209" s="395">
        <f t="shared" si="79"/>
        <v>0</v>
      </c>
      <c r="N209" s="400">
        <f t="shared" si="80"/>
        <v>0</v>
      </c>
      <c r="O209" s="365"/>
      <c r="P209" s="401">
        <f t="shared" si="108"/>
        <v>0</v>
      </c>
      <c r="Q209" s="302"/>
      <c r="R209" s="302"/>
      <c r="S209" s="302"/>
      <c r="T209" s="302"/>
      <c r="U209" s="302"/>
      <c r="V209" s="302"/>
      <c r="W209" s="302"/>
      <c r="X209" s="302"/>
      <c r="Y209" s="302"/>
      <c r="Z209" s="302"/>
      <c r="AA209" s="302"/>
      <c r="AB209" s="302"/>
      <c r="AC209" s="302"/>
      <c r="AD209" s="302"/>
      <c r="AE209" s="302"/>
      <c r="AF209" s="302"/>
      <c r="AG209" s="391">
        <v>0</v>
      </c>
      <c r="AH209" s="392">
        <v>0</v>
      </c>
      <c r="AI209" s="392">
        <v>0</v>
      </c>
      <c r="AJ209" s="392">
        <v>0</v>
      </c>
      <c r="AK209" s="392">
        <v>0</v>
      </c>
      <c r="AL209" s="392">
        <v>0</v>
      </c>
      <c r="AM209" s="392">
        <v>0</v>
      </c>
      <c r="AN209" s="392">
        <v>0</v>
      </c>
      <c r="AO209" s="392">
        <v>0</v>
      </c>
      <c r="AP209" s="393">
        <v>0</v>
      </c>
      <c r="AQ209" s="391">
        <f t="shared" si="82"/>
        <v>0</v>
      </c>
      <c r="AR209" s="392">
        <f t="shared" si="83"/>
        <v>0</v>
      </c>
      <c r="AS209" s="392">
        <f t="shared" si="84"/>
        <v>0</v>
      </c>
      <c r="AT209" s="392">
        <f t="shared" si="85"/>
        <v>0</v>
      </c>
      <c r="AU209" s="392">
        <f t="shared" si="86"/>
        <v>0</v>
      </c>
      <c r="AV209" s="392">
        <f t="shared" si="87"/>
        <v>0</v>
      </c>
      <c r="AW209" s="392">
        <f t="shared" si="88"/>
        <v>0</v>
      </c>
      <c r="AX209" s="392">
        <f t="shared" si="89"/>
        <v>0</v>
      </c>
      <c r="AY209" s="392">
        <f t="shared" si="90"/>
        <v>0</v>
      </c>
      <c r="AZ209" s="393">
        <f t="shared" si="91"/>
        <v>0</v>
      </c>
      <c r="BA209" s="302"/>
      <c r="BB209" s="302"/>
      <c r="BC209" s="302"/>
      <c r="BD209" s="302"/>
      <c r="BE209" s="302"/>
      <c r="BF209" s="302"/>
      <c r="BG209" s="302"/>
      <c r="BH209" s="302"/>
      <c r="BI209" s="302"/>
      <c r="BJ209" s="302"/>
      <c r="BK209" s="302"/>
      <c r="BL209" s="302"/>
      <c r="BM209" s="302"/>
      <c r="BN209" s="302"/>
      <c r="BO209" s="302"/>
      <c r="BP209" s="302"/>
      <c r="BQ209" s="302"/>
      <c r="BR209" s="302"/>
      <c r="BS209" s="302"/>
      <c r="BT209" s="302"/>
      <c r="BU209" s="302"/>
    </row>
    <row r="210" spans="1:73">
      <c r="A210" s="325"/>
      <c r="B210" s="394"/>
      <c r="C210" s="570" t="s">
        <v>525</v>
      </c>
      <c r="D210" s="572">
        <v>9.5</v>
      </c>
      <c r="E210" s="572">
        <v>8</v>
      </c>
      <c r="F210" s="395">
        <f t="shared" si="77"/>
        <v>1.5</v>
      </c>
      <c r="G210" s="382">
        <v>1200</v>
      </c>
      <c r="H210" s="396">
        <f t="shared" si="109"/>
        <v>1770</v>
      </c>
      <c r="I210" s="396">
        <v>1770</v>
      </c>
      <c r="J210" s="397"/>
      <c r="K210" s="570">
        <v>300</v>
      </c>
      <c r="L210" s="399">
        <f t="shared" si="78"/>
        <v>1.6956000000000002</v>
      </c>
      <c r="M210" s="395">
        <f t="shared" si="79"/>
        <v>1.6971428571428571</v>
      </c>
      <c r="N210" s="400">
        <f t="shared" si="80"/>
        <v>2.2628571428571429</v>
      </c>
      <c r="O210" s="365"/>
      <c r="P210" s="401">
        <f t="shared" si="108"/>
        <v>0</v>
      </c>
      <c r="Q210" s="302"/>
      <c r="R210" s="302"/>
      <c r="S210" s="302"/>
      <c r="T210" s="302"/>
      <c r="U210" s="302"/>
      <c r="V210" s="302"/>
      <c r="W210" s="302"/>
      <c r="X210" s="302"/>
      <c r="Y210" s="302"/>
      <c r="Z210" s="302"/>
      <c r="AA210" s="302"/>
      <c r="AB210" s="302"/>
      <c r="AC210" s="302"/>
      <c r="AD210" s="302"/>
      <c r="AE210" s="302"/>
      <c r="AF210" s="302"/>
      <c r="AG210" s="391">
        <v>0</v>
      </c>
      <c r="AH210" s="392">
        <v>0</v>
      </c>
      <c r="AI210" s="392">
        <v>0</v>
      </c>
      <c r="AJ210" s="392">
        <v>0</v>
      </c>
      <c r="AK210" s="392">
        <v>0</v>
      </c>
      <c r="AL210" s="392">
        <v>0</v>
      </c>
      <c r="AM210" s="392">
        <v>0</v>
      </c>
      <c r="AN210" s="392">
        <v>0</v>
      </c>
      <c r="AO210" s="392">
        <v>0</v>
      </c>
      <c r="AP210" s="393">
        <v>0</v>
      </c>
      <c r="AQ210" s="391">
        <f t="shared" si="82"/>
        <v>0</v>
      </c>
      <c r="AR210" s="392">
        <f t="shared" si="83"/>
        <v>0</v>
      </c>
      <c r="AS210" s="392">
        <f t="shared" si="84"/>
        <v>0</v>
      </c>
      <c r="AT210" s="392">
        <f t="shared" si="85"/>
        <v>0</v>
      </c>
      <c r="AU210" s="392">
        <f t="shared" si="86"/>
        <v>0</v>
      </c>
      <c r="AV210" s="392">
        <f t="shared" si="87"/>
        <v>0</v>
      </c>
      <c r="AW210" s="392">
        <f t="shared" si="88"/>
        <v>0</v>
      </c>
      <c r="AX210" s="392">
        <f t="shared" si="89"/>
        <v>0</v>
      </c>
      <c r="AY210" s="392">
        <f t="shared" si="90"/>
        <v>0</v>
      </c>
      <c r="AZ210" s="393">
        <f t="shared" si="91"/>
        <v>0</v>
      </c>
      <c r="BA210" s="302"/>
      <c r="BB210" s="302"/>
      <c r="BC210" s="302"/>
      <c r="BD210" s="302"/>
      <c r="BE210" s="302"/>
      <c r="BF210" s="302"/>
      <c r="BG210" s="302"/>
      <c r="BH210" s="302"/>
      <c r="BI210" s="302"/>
      <c r="BJ210" s="302"/>
      <c r="BK210" s="302"/>
      <c r="BL210" s="302"/>
      <c r="BM210" s="302"/>
      <c r="BN210" s="302"/>
      <c r="BO210" s="302"/>
      <c r="BP210" s="302"/>
      <c r="BQ210" s="302"/>
      <c r="BR210" s="302"/>
      <c r="BS210" s="302"/>
      <c r="BT210" s="302"/>
      <c r="BU210" s="302"/>
    </row>
    <row r="211" spans="1:73">
      <c r="A211" s="325"/>
      <c r="B211" s="394"/>
      <c r="C211" s="570" t="s">
        <v>106</v>
      </c>
      <c r="D211" s="572">
        <v>9.6999999999999993</v>
      </c>
      <c r="E211" s="572">
        <v>7.9379999999999997</v>
      </c>
      <c r="F211" s="395">
        <f t="shared" si="77"/>
        <v>2</v>
      </c>
      <c r="G211" s="382">
        <v>1200</v>
      </c>
      <c r="H211" s="396">
        <f t="shared" si="109"/>
        <v>1771</v>
      </c>
      <c r="I211" s="396">
        <v>1771</v>
      </c>
      <c r="J211" s="397"/>
      <c r="K211" s="570">
        <v>300</v>
      </c>
      <c r="L211" s="399">
        <f t="shared" si="78"/>
        <v>2.2608000000000001</v>
      </c>
      <c r="M211" s="395">
        <f t="shared" si="79"/>
        <v>2.2628571428571429</v>
      </c>
      <c r="N211" s="400">
        <f t="shared" si="80"/>
        <v>2.2628571428571429</v>
      </c>
      <c r="O211" s="365"/>
      <c r="P211" s="401">
        <f t="shared" si="108"/>
        <v>0</v>
      </c>
      <c r="Q211" s="302"/>
      <c r="R211" s="302"/>
      <c r="S211" s="302"/>
      <c r="T211" s="302"/>
      <c r="U211" s="302"/>
      <c r="V211" s="302"/>
      <c r="W211" s="302"/>
      <c r="X211" s="302"/>
      <c r="Y211" s="302"/>
      <c r="Z211" s="302"/>
      <c r="AA211" s="302"/>
      <c r="AB211" s="302"/>
      <c r="AC211" s="302"/>
      <c r="AD211" s="302"/>
      <c r="AE211" s="302"/>
      <c r="AF211" s="302"/>
      <c r="AG211" s="391">
        <v>0</v>
      </c>
      <c r="AH211" s="392">
        <v>0</v>
      </c>
      <c r="AI211" s="392">
        <v>0</v>
      </c>
      <c r="AJ211" s="392">
        <v>0</v>
      </c>
      <c r="AK211" s="392">
        <v>0</v>
      </c>
      <c r="AL211" s="392">
        <v>0</v>
      </c>
      <c r="AM211" s="392">
        <v>0</v>
      </c>
      <c r="AN211" s="392">
        <v>0</v>
      </c>
      <c r="AO211" s="392">
        <v>0</v>
      </c>
      <c r="AP211" s="393">
        <v>0</v>
      </c>
      <c r="AQ211" s="391">
        <f t="shared" si="82"/>
        <v>0</v>
      </c>
      <c r="AR211" s="392">
        <f t="shared" si="83"/>
        <v>0</v>
      </c>
      <c r="AS211" s="392">
        <f t="shared" si="84"/>
        <v>0</v>
      </c>
      <c r="AT211" s="392">
        <f t="shared" si="85"/>
        <v>0</v>
      </c>
      <c r="AU211" s="392">
        <f t="shared" si="86"/>
        <v>0</v>
      </c>
      <c r="AV211" s="392">
        <f t="shared" si="87"/>
        <v>0</v>
      </c>
      <c r="AW211" s="392">
        <f t="shared" si="88"/>
        <v>0</v>
      </c>
      <c r="AX211" s="392">
        <f t="shared" si="89"/>
        <v>0</v>
      </c>
      <c r="AY211" s="392">
        <f t="shared" si="90"/>
        <v>0</v>
      </c>
      <c r="AZ211" s="393">
        <f t="shared" si="91"/>
        <v>0</v>
      </c>
      <c r="BA211" s="302"/>
      <c r="BB211" s="302"/>
      <c r="BC211" s="302"/>
      <c r="BD211" s="302"/>
      <c r="BE211" s="302"/>
      <c r="BF211" s="302"/>
      <c r="BG211" s="302"/>
      <c r="BH211" s="302"/>
      <c r="BI211" s="302"/>
      <c r="BJ211" s="302"/>
      <c r="BK211" s="302"/>
      <c r="BL211" s="302"/>
      <c r="BM211" s="302"/>
      <c r="BN211" s="302"/>
      <c r="BO211" s="302"/>
      <c r="BP211" s="302"/>
      <c r="BQ211" s="302"/>
      <c r="BR211" s="302"/>
      <c r="BS211" s="302"/>
      <c r="BT211" s="302"/>
      <c r="BU211" s="302"/>
    </row>
    <row r="212" spans="1:73">
      <c r="A212" s="325"/>
      <c r="B212" s="394"/>
      <c r="C212" s="570"/>
      <c r="D212" s="572"/>
      <c r="E212" s="572"/>
      <c r="F212" s="395">
        <f t="shared" si="77"/>
        <v>0</v>
      </c>
      <c r="G212" s="382"/>
      <c r="H212" s="396">
        <f t="shared" si="109"/>
        <v>1772</v>
      </c>
      <c r="I212" s="396">
        <v>1772</v>
      </c>
      <c r="J212" s="397"/>
      <c r="K212" s="570"/>
      <c r="L212" s="399">
        <f t="shared" si="78"/>
        <v>0</v>
      </c>
      <c r="M212" s="395">
        <f t="shared" si="79"/>
        <v>0</v>
      </c>
      <c r="N212" s="400">
        <f t="shared" si="80"/>
        <v>0</v>
      </c>
      <c r="O212" s="365"/>
      <c r="P212" s="401">
        <f t="shared" si="108"/>
        <v>0</v>
      </c>
      <c r="Q212" s="302"/>
      <c r="R212" s="302"/>
      <c r="S212" s="302"/>
      <c r="T212" s="302"/>
      <c r="U212" s="302"/>
      <c r="V212" s="302"/>
      <c r="W212" s="302"/>
      <c r="X212" s="302"/>
      <c r="Y212" s="302"/>
      <c r="Z212" s="302"/>
      <c r="AA212" s="302"/>
      <c r="AB212" s="302"/>
      <c r="AC212" s="302"/>
      <c r="AD212" s="302"/>
      <c r="AE212" s="302"/>
      <c r="AF212" s="302"/>
      <c r="AG212" s="391">
        <v>0</v>
      </c>
      <c r="AH212" s="392">
        <v>0</v>
      </c>
      <c r="AI212" s="392">
        <v>0</v>
      </c>
      <c r="AJ212" s="392">
        <v>0</v>
      </c>
      <c r="AK212" s="392">
        <v>0</v>
      </c>
      <c r="AL212" s="392">
        <v>0</v>
      </c>
      <c r="AM212" s="392">
        <v>0</v>
      </c>
      <c r="AN212" s="392">
        <v>0</v>
      </c>
      <c r="AO212" s="392">
        <v>0</v>
      </c>
      <c r="AP212" s="393">
        <v>0</v>
      </c>
      <c r="AQ212" s="391">
        <f t="shared" si="82"/>
        <v>0</v>
      </c>
      <c r="AR212" s="392">
        <f t="shared" si="83"/>
        <v>0</v>
      </c>
      <c r="AS212" s="392">
        <f t="shared" si="84"/>
        <v>0</v>
      </c>
      <c r="AT212" s="392">
        <f t="shared" si="85"/>
        <v>0</v>
      </c>
      <c r="AU212" s="392">
        <f t="shared" si="86"/>
        <v>0</v>
      </c>
      <c r="AV212" s="392">
        <f t="shared" si="87"/>
        <v>0</v>
      </c>
      <c r="AW212" s="392">
        <f t="shared" si="88"/>
        <v>0</v>
      </c>
      <c r="AX212" s="392">
        <f t="shared" si="89"/>
        <v>0</v>
      </c>
      <c r="AY212" s="392">
        <f t="shared" si="90"/>
        <v>0</v>
      </c>
      <c r="AZ212" s="393">
        <f t="shared" si="91"/>
        <v>0</v>
      </c>
      <c r="BA212" s="302"/>
      <c r="BB212" s="302"/>
      <c r="BC212" s="302"/>
      <c r="BD212" s="302"/>
      <c r="BE212" s="302"/>
      <c r="BF212" s="302"/>
      <c r="BG212" s="302"/>
      <c r="BH212" s="302"/>
      <c r="BI212" s="302"/>
      <c r="BJ212" s="302"/>
      <c r="BK212" s="302"/>
      <c r="BL212" s="302"/>
      <c r="BM212" s="302"/>
      <c r="BN212" s="302"/>
      <c r="BO212" s="302"/>
      <c r="BP212" s="302"/>
      <c r="BQ212" s="302"/>
      <c r="BR212" s="302"/>
      <c r="BS212" s="302"/>
      <c r="BT212" s="302"/>
      <c r="BU212" s="302"/>
    </row>
    <row r="213" spans="1:73">
      <c r="A213" s="325"/>
      <c r="B213" s="394"/>
      <c r="C213" s="570" t="s">
        <v>524</v>
      </c>
      <c r="D213" s="572">
        <v>9</v>
      </c>
      <c r="E213" s="572">
        <v>7.5</v>
      </c>
      <c r="F213" s="395">
        <f t="shared" si="77"/>
        <v>1.5</v>
      </c>
      <c r="G213" s="382">
        <v>1800</v>
      </c>
      <c r="H213" s="396">
        <f t="shared" si="109"/>
        <v>1773</v>
      </c>
      <c r="I213" s="396">
        <v>1773</v>
      </c>
      <c r="J213" s="397"/>
      <c r="K213" s="570">
        <v>750</v>
      </c>
      <c r="L213" s="399">
        <f t="shared" si="78"/>
        <v>3.8151000000000002</v>
      </c>
      <c r="M213" s="395">
        <f t="shared" si="79"/>
        <v>3.8185714285714285</v>
      </c>
      <c r="N213" s="400">
        <f t="shared" si="80"/>
        <v>2.2628571428571429</v>
      </c>
      <c r="O213" s="365"/>
      <c r="P213" s="401">
        <f t="shared" si="108"/>
        <v>0</v>
      </c>
      <c r="Q213" s="302"/>
      <c r="R213" s="302"/>
      <c r="S213" s="302"/>
      <c r="T213" s="302"/>
      <c r="U213" s="302"/>
      <c r="V213" s="302"/>
      <c r="W213" s="302"/>
      <c r="X213" s="302"/>
      <c r="Y213" s="302"/>
      <c r="Z213" s="302"/>
      <c r="AA213" s="302"/>
      <c r="AB213" s="302"/>
      <c r="AC213" s="302"/>
      <c r="AD213" s="302"/>
      <c r="AE213" s="302"/>
      <c r="AF213" s="302"/>
      <c r="AG213" s="391">
        <v>0</v>
      </c>
      <c r="AH213" s="392">
        <v>0</v>
      </c>
      <c r="AI213" s="392">
        <v>0</v>
      </c>
      <c r="AJ213" s="392">
        <v>0</v>
      </c>
      <c r="AK213" s="392">
        <v>0</v>
      </c>
      <c r="AL213" s="392">
        <v>0</v>
      </c>
      <c r="AM213" s="392">
        <v>0</v>
      </c>
      <c r="AN213" s="392">
        <v>0</v>
      </c>
      <c r="AO213" s="392">
        <v>0</v>
      </c>
      <c r="AP213" s="393">
        <v>0</v>
      </c>
      <c r="AQ213" s="391">
        <f t="shared" si="82"/>
        <v>0</v>
      </c>
      <c r="AR213" s="392">
        <f t="shared" si="83"/>
        <v>0</v>
      </c>
      <c r="AS213" s="392">
        <f t="shared" si="84"/>
        <v>0</v>
      </c>
      <c r="AT213" s="392">
        <f t="shared" si="85"/>
        <v>0</v>
      </c>
      <c r="AU213" s="392">
        <f t="shared" si="86"/>
        <v>0</v>
      </c>
      <c r="AV213" s="392">
        <f t="shared" si="87"/>
        <v>0</v>
      </c>
      <c r="AW213" s="392">
        <f t="shared" si="88"/>
        <v>0</v>
      </c>
      <c r="AX213" s="392">
        <f t="shared" si="89"/>
        <v>0</v>
      </c>
      <c r="AY213" s="392">
        <f t="shared" si="90"/>
        <v>0</v>
      </c>
      <c r="AZ213" s="393">
        <f t="shared" si="91"/>
        <v>0</v>
      </c>
      <c r="BA213" s="302"/>
      <c r="BB213" s="302"/>
      <c r="BC213" s="302"/>
      <c r="BD213" s="302"/>
      <c r="BE213" s="302"/>
      <c r="BF213" s="302"/>
      <c r="BG213" s="302"/>
      <c r="BH213" s="302"/>
      <c r="BI213" s="302"/>
      <c r="BJ213" s="302"/>
      <c r="BK213" s="302"/>
      <c r="BL213" s="302"/>
      <c r="BM213" s="302"/>
      <c r="BN213" s="302"/>
      <c r="BO213" s="302"/>
      <c r="BP213" s="302"/>
      <c r="BQ213" s="302"/>
      <c r="BR213" s="302"/>
      <c r="BS213" s="302"/>
      <c r="BT213" s="302"/>
      <c r="BU213" s="302"/>
    </row>
    <row r="214" spans="1:73">
      <c r="A214" s="325"/>
      <c r="B214" s="394"/>
      <c r="C214" s="570" t="s">
        <v>523</v>
      </c>
      <c r="D214" s="572">
        <v>9</v>
      </c>
      <c r="E214" s="572">
        <v>7.476</v>
      </c>
      <c r="F214" s="395">
        <f t="shared" si="77"/>
        <v>1.75</v>
      </c>
      <c r="G214" s="382">
        <v>1800</v>
      </c>
      <c r="H214" s="396">
        <f t="shared" si="109"/>
        <v>1774</v>
      </c>
      <c r="I214" s="396">
        <v>1774</v>
      </c>
      <c r="J214" s="397"/>
      <c r="K214" s="570">
        <v>525</v>
      </c>
      <c r="L214" s="399">
        <f t="shared" si="78"/>
        <v>4.4509500000000006</v>
      </c>
      <c r="M214" s="395">
        <f t="shared" si="79"/>
        <v>4.4550000000000001</v>
      </c>
      <c r="N214" s="400">
        <f t="shared" si="80"/>
        <v>2.2628571428571429</v>
      </c>
      <c r="O214" s="365"/>
      <c r="P214" s="401">
        <f t="shared" si="108"/>
        <v>0</v>
      </c>
      <c r="Q214" s="302"/>
      <c r="R214" s="302"/>
      <c r="S214" s="302"/>
      <c r="T214" s="302"/>
      <c r="U214" s="302"/>
      <c r="V214" s="302"/>
      <c r="W214" s="302"/>
      <c r="X214" s="302"/>
      <c r="Y214" s="302"/>
      <c r="Z214" s="302"/>
      <c r="AA214" s="302"/>
      <c r="AB214" s="302"/>
      <c r="AC214" s="302"/>
      <c r="AD214" s="302"/>
      <c r="AE214" s="302"/>
      <c r="AF214" s="302"/>
      <c r="AG214" s="391">
        <v>0</v>
      </c>
      <c r="AH214" s="392">
        <v>0</v>
      </c>
      <c r="AI214" s="392">
        <v>0</v>
      </c>
      <c r="AJ214" s="392">
        <v>0</v>
      </c>
      <c r="AK214" s="392">
        <v>0</v>
      </c>
      <c r="AL214" s="392">
        <v>0</v>
      </c>
      <c r="AM214" s="392">
        <v>0</v>
      </c>
      <c r="AN214" s="392">
        <v>0</v>
      </c>
      <c r="AO214" s="392">
        <v>0</v>
      </c>
      <c r="AP214" s="393">
        <v>0</v>
      </c>
      <c r="AQ214" s="391">
        <f t="shared" si="82"/>
        <v>0</v>
      </c>
      <c r="AR214" s="392">
        <f t="shared" si="83"/>
        <v>0</v>
      </c>
      <c r="AS214" s="392">
        <f t="shared" si="84"/>
        <v>0</v>
      </c>
      <c r="AT214" s="392">
        <f t="shared" si="85"/>
        <v>0</v>
      </c>
      <c r="AU214" s="392">
        <f t="shared" si="86"/>
        <v>0</v>
      </c>
      <c r="AV214" s="392">
        <f t="shared" si="87"/>
        <v>0</v>
      </c>
      <c r="AW214" s="392">
        <f t="shared" si="88"/>
        <v>0</v>
      </c>
      <c r="AX214" s="392">
        <f t="shared" si="89"/>
        <v>0</v>
      </c>
      <c r="AY214" s="392">
        <f t="shared" si="90"/>
        <v>0</v>
      </c>
      <c r="AZ214" s="393">
        <f t="shared" si="91"/>
        <v>0</v>
      </c>
      <c r="BA214" s="302"/>
      <c r="BB214" s="302"/>
      <c r="BC214" s="302"/>
      <c r="BD214" s="302"/>
      <c r="BE214" s="302"/>
      <c r="BF214" s="302"/>
      <c r="BG214" s="302"/>
      <c r="BH214" s="302"/>
      <c r="BI214" s="302"/>
      <c r="BJ214" s="302"/>
      <c r="BK214" s="302"/>
      <c r="BL214" s="302"/>
      <c r="BM214" s="302"/>
      <c r="BN214" s="302"/>
      <c r="BO214" s="302"/>
      <c r="BP214" s="302"/>
      <c r="BQ214" s="302"/>
      <c r="BR214" s="302"/>
      <c r="BS214" s="302"/>
      <c r="BT214" s="302"/>
      <c r="BU214" s="302"/>
    </row>
    <row r="215" spans="1:73">
      <c r="A215" s="325"/>
      <c r="B215" s="394"/>
      <c r="C215" s="570"/>
      <c r="D215" s="572"/>
      <c r="E215" s="572"/>
      <c r="F215" s="395">
        <f t="shared" si="77"/>
        <v>0</v>
      </c>
      <c r="G215" s="382"/>
      <c r="H215" s="396">
        <f t="shared" si="109"/>
        <v>1775</v>
      </c>
      <c r="I215" s="396">
        <v>1775</v>
      </c>
      <c r="J215" s="397"/>
      <c r="K215" s="570"/>
      <c r="L215" s="399">
        <f t="shared" si="78"/>
        <v>0</v>
      </c>
      <c r="M215" s="395">
        <f t="shared" si="79"/>
        <v>0</v>
      </c>
      <c r="N215" s="400">
        <f t="shared" si="80"/>
        <v>0</v>
      </c>
      <c r="O215" s="365"/>
      <c r="P215" s="401">
        <f t="shared" ref="P215:P238" si="110">IF($A215&gt;0,(VLOOKUP($G215,$Q$253:$S$258,3)),0)</f>
        <v>0</v>
      </c>
      <c r="Q215" s="302"/>
      <c r="R215" s="302"/>
      <c r="S215" s="302"/>
      <c r="T215" s="302"/>
      <c r="U215" s="302"/>
      <c r="V215" s="302"/>
      <c r="W215" s="302"/>
      <c r="X215" s="302"/>
      <c r="Y215" s="302"/>
      <c r="Z215" s="302"/>
      <c r="AA215" s="302"/>
      <c r="AB215" s="302"/>
      <c r="AC215" s="302"/>
      <c r="AD215" s="302"/>
      <c r="AE215" s="302"/>
      <c r="AF215" s="302"/>
      <c r="AG215" s="391">
        <v>0</v>
      </c>
      <c r="AH215" s="392">
        <v>0</v>
      </c>
      <c r="AI215" s="392">
        <v>0</v>
      </c>
      <c r="AJ215" s="392">
        <v>0</v>
      </c>
      <c r="AK215" s="392">
        <v>0</v>
      </c>
      <c r="AL215" s="392">
        <v>0</v>
      </c>
      <c r="AM215" s="392">
        <v>0</v>
      </c>
      <c r="AN215" s="392">
        <v>0</v>
      </c>
      <c r="AO215" s="392">
        <v>0</v>
      </c>
      <c r="AP215" s="393">
        <v>0</v>
      </c>
      <c r="AQ215" s="391">
        <f t="shared" si="82"/>
        <v>0</v>
      </c>
      <c r="AR215" s="392">
        <f t="shared" si="83"/>
        <v>0</v>
      </c>
      <c r="AS215" s="392">
        <f t="shared" si="84"/>
        <v>0</v>
      </c>
      <c r="AT215" s="392">
        <f t="shared" si="85"/>
        <v>0</v>
      </c>
      <c r="AU215" s="392">
        <f t="shared" si="86"/>
        <v>0</v>
      </c>
      <c r="AV215" s="392">
        <f t="shared" si="87"/>
        <v>0</v>
      </c>
      <c r="AW215" s="392">
        <f t="shared" si="88"/>
        <v>0</v>
      </c>
      <c r="AX215" s="392">
        <f t="shared" si="89"/>
        <v>0</v>
      </c>
      <c r="AY215" s="392">
        <f t="shared" si="90"/>
        <v>0</v>
      </c>
      <c r="AZ215" s="393">
        <f t="shared" si="91"/>
        <v>0</v>
      </c>
      <c r="BA215" s="302"/>
      <c r="BB215" s="302"/>
      <c r="BC215" s="302"/>
      <c r="BD215" s="302"/>
      <c r="BE215" s="302"/>
      <c r="BF215" s="302"/>
      <c r="BG215" s="302"/>
      <c r="BH215" s="302"/>
      <c r="BI215" s="302"/>
      <c r="BJ215" s="302"/>
      <c r="BK215" s="302"/>
      <c r="BL215" s="302"/>
      <c r="BM215" s="302"/>
      <c r="BN215" s="302"/>
      <c r="BO215" s="302"/>
      <c r="BP215" s="302"/>
      <c r="BQ215" s="302"/>
      <c r="BR215" s="302"/>
      <c r="BS215" s="302"/>
      <c r="BT215" s="302"/>
      <c r="BU215" s="302"/>
    </row>
    <row r="216" spans="1:73">
      <c r="A216" s="325"/>
      <c r="B216" s="394"/>
      <c r="C216" s="570" t="s">
        <v>522</v>
      </c>
      <c r="D216" s="572">
        <v>10</v>
      </c>
      <c r="E216" s="572">
        <v>8.08</v>
      </c>
      <c r="F216" s="395">
        <f t="shared" si="77"/>
        <v>2</v>
      </c>
      <c r="G216" s="382">
        <v>1800</v>
      </c>
      <c r="H216" s="396">
        <f t="shared" si="109"/>
        <v>1776</v>
      </c>
      <c r="I216" s="396">
        <v>1776</v>
      </c>
      <c r="J216" s="397"/>
      <c r="K216" s="570">
        <v>900</v>
      </c>
      <c r="L216" s="399">
        <f t="shared" si="78"/>
        <v>5.0868000000000002</v>
      </c>
      <c r="M216" s="395">
        <f t="shared" si="79"/>
        <v>5.0914285714285716</v>
      </c>
      <c r="N216" s="400">
        <f t="shared" si="80"/>
        <v>2.2628571428571429</v>
      </c>
      <c r="O216" s="365"/>
      <c r="P216" s="401">
        <f t="shared" si="110"/>
        <v>0</v>
      </c>
      <c r="Q216" s="302"/>
      <c r="R216" s="302"/>
      <c r="S216" s="302"/>
      <c r="T216" s="302"/>
      <c r="U216" s="302"/>
      <c r="V216" s="302"/>
      <c r="W216" s="302"/>
      <c r="X216" s="302"/>
      <c r="Y216" s="302"/>
      <c r="Z216" s="302"/>
      <c r="AA216" s="302"/>
      <c r="AB216" s="302"/>
      <c r="AC216" s="302"/>
      <c r="AD216" s="302"/>
      <c r="AE216" s="302"/>
      <c r="AF216" s="302"/>
      <c r="AG216" s="391">
        <v>0</v>
      </c>
      <c r="AH216" s="392">
        <v>0</v>
      </c>
      <c r="AI216" s="392">
        <v>0</v>
      </c>
      <c r="AJ216" s="392">
        <v>0</v>
      </c>
      <c r="AK216" s="392">
        <v>0</v>
      </c>
      <c r="AL216" s="392">
        <v>0</v>
      </c>
      <c r="AM216" s="392">
        <v>0</v>
      </c>
      <c r="AN216" s="392">
        <v>0</v>
      </c>
      <c r="AO216" s="392">
        <v>0</v>
      </c>
      <c r="AP216" s="393">
        <v>0</v>
      </c>
      <c r="AQ216" s="391">
        <f t="shared" si="82"/>
        <v>0</v>
      </c>
      <c r="AR216" s="392">
        <f t="shared" si="83"/>
        <v>0</v>
      </c>
      <c r="AS216" s="392">
        <f t="shared" si="84"/>
        <v>0</v>
      </c>
      <c r="AT216" s="392">
        <f t="shared" si="85"/>
        <v>0</v>
      </c>
      <c r="AU216" s="392">
        <f t="shared" si="86"/>
        <v>0</v>
      </c>
      <c r="AV216" s="392">
        <f t="shared" si="87"/>
        <v>0</v>
      </c>
      <c r="AW216" s="392">
        <f t="shared" si="88"/>
        <v>0</v>
      </c>
      <c r="AX216" s="392">
        <f t="shared" si="89"/>
        <v>0</v>
      </c>
      <c r="AY216" s="392">
        <f t="shared" si="90"/>
        <v>0</v>
      </c>
      <c r="AZ216" s="393">
        <f t="shared" si="91"/>
        <v>0</v>
      </c>
      <c r="BA216" s="302"/>
      <c r="BB216" s="302"/>
      <c r="BC216" s="302"/>
      <c r="BD216" s="302"/>
      <c r="BE216" s="302"/>
      <c r="BF216" s="302"/>
      <c r="BG216" s="302"/>
      <c r="BH216" s="302"/>
      <c r="BI216" s="302"/>
      <c r="BJ216" s="302"/>
      <c r="BK216" s="302"/>
      <c r="BL216" s="302"/>
      <c r="BM216" s="302"/>
      <c r="BN216" s="302"/>
      <c r="BO216" s="302"/>
      <c r="BP216" s="302"/>
      <c r="BQ216" s="302"/>
      <c r="BR216" s="302"/>
      <c r="BS216" s="302"/>
      <c r="BT216" s="302"/>
      <c r="BU216" s="302"/>
    </row>
    <row r="217" spans="1:73">
      <c r="A217" s="325"/>
      <c r="B217" s="394"/>
      <c r="C217" s="570" t="s">
        <v>521</v>
      </c>
      <c r="D217" s="572">
        <v>9.3000000000000007</v>
      </c>
      <c r="E217" s="572">
        <v>7.9409999999999998</v>
      </c>
      <c r="F217" s="395">
        <f t="shared" si="77"/>
        <v>1.5</v>
      </c>
      <c r="G217" s="382">
        <v>1200</v>
      </c>
      <c r="H217" s="396">
        <f t="shared" si="109"/>
        <v>1777</v>
      </c>
      <c r="I217" s="396">
        <v>1777</v>
      </c>
      <c r="J217" s="397"/>
      <c r="K217" s="570">
        <v>225</v>
      </c>
      <c r="L217" s="399">
        <f t="shared" si="78"/>
        <v>1.6956000000000002</v>
      </c>
      <c r="M217" s="395">
        <f t="shared" si="79"/>
        <v>1.6971428571428571</v>
      </c>
      <c r="N217" s="400">
        <f t="shared" si="80"/>
        <v>2.2628571428571429</v>
      </c>
      <c r="O217" s="365"/>
      <c r="P217" s="401">
        <f t="shared" si="110"/>
        <v>0</v>
      </c>
      <c r="Q217" s="302"/>
      <c r="R217" s="302"/>
      <c r="S217" s="302"/>
      <c r="T217" s="302"/>
      <c r="U217" s="302"/>
      <c r="V217" s="302"/>
      <c r="W217" s="302"/>
      <c r="X217" s="302"/>
      <c r="Y217" s="302"/>
      <c r="Z217" s="302"/>
      <c r="AA217" s="302"/>
      <c r="AB217" s="302"/>
      <c r="AC217" s="302"/>
      <c r="AD217" s="302"/>
      <c r="AE217" s="302"/>
      <c r="AF217" s="302"/>
      <c r="AG217" s="391">
        <v>0</v>
      </c>
      <c r="AH217" s="392">
        <v>0</v>
      </c>
      <c r="AI217" s="392">
        <v>0</v>
      </c>
      <c r="AJ217" s="392">
        <v>0</v>
      </c>
      <c r="AK217" s="392">
        <v>0</v>
      </c>
      <c r="AL217" s="392">
        <v>0</v>
      </c>
      <c r="AM217" s="392">
        <v>0</v>
      </c>
      <c r="AN217" s="392">
        <v>0</v>
      </c>
      <c r="AO217" s="392">
        <v>0</v>
      </c>
      <c r="AP217" s="393">
        <v>0</v>
      </c>
      <c r="AQ217" s="391">
        <f t="shared" si="82"/>
        <v>0</v>
      </c>
      <c r="AR217" s="392">
        <f t="shared" si="83"/>
        <v>0</v>
      </c>
      <c r="AS217" s="392">
        <f t="shared" si="84"/>
        <v>0</v>
      </c>
      <c r="AT217" s="392">
        <f t="shared" si="85"/>
        <v>0</v>
      </c>
      <c r="AU217" s="392">
        <f t="shared" si="86"/>
        <v>0</v>
      </c>
      <c r="AV217" s="392">
        <f t="shared" si="87"/>
        <v>0</v>
      </c>
      <c r="AW217" s="392">
        <f t="shared" si="88"/>
        <v>0</v>
      </c>
      <c r="AX217" s="392">
        <f t="shared" si="89"/>
        <v>0</v>
      </c>
      <c r="AY217" s="392">
        <f t="shared" si="90"/>
        <v>0</v>
      </c>
      <c r="AZ217" s="393">
        <f t="shared" si="91"/>
        <v>0</v>
      </c>
      <c r="BA217" s="302"/>
      <c r="BB217" s="302"/>
      <c r="BC217" s="302"/>
      <c r="BD217" s="302"/>
      <c r="BE217" s="302"/>
      <c r="BF217" s="302"/>
      <c r="BG217" s="302"/>
      <c r="BH217" s="302"/>
      <c r="BI217" s="302"/>
      <c r="BJ217" s="302"/>
      <c r="BK217" s="302"/>
      <c r="BL217" s="302"/>
      <c r="BM217" s="302"/>
      <c r="BN217" s="302"/>
      <c r="BO217" s="302"/>
      <c r="BP217" s="302"/>
      <c r="BQ217" s="302"/>
      <c r="BR217" s="302"/>
      <c r="BS217" s="302"/>
      <c r="BT217" s="302"/>
      <c r="BU217" s="302"/>
    </row>
    <row r="218" spans="1:73">
      <c r="A218" s="325"/>
      <c r="B218" s="394"/>
      <c r="C218" s="570" t="s">
        <v>520</v>
      </c>
      <c r="D218" s="572">
        <v>9.5</v>
      </c>
      <c r="E218" s="572">
        <v>7.8659999999999997</v>
      </c>
      <c r="F218" s="395">
        <f t="shared" si="77"/>
        <v>1.75</v>
      </c>
      <c r="G218" s="382">
        <v>1200</v>
      </c>
      <c r="H218" s="396">
        <f t="shared" si="109"/>
        <v>1778</v>
      </c>
      <c r="I218" s="396">
        <v>1778</v>
      </c>
      <c r="J218" s="397"/>
      <c r="K218" s="570">
        <v>300</v>
      </c>
      <c r="L218" s="399">
        <f t="shared" si="78"/>
        <v>1.9782000000000002</v>
      </c>
      <c r="M218" s="395">
        <f t="shared" si="79"/>
        <v>1.98</v>
      </c>
      <c r="N218" s="400">
        <f t="shared" si="80"/>
        <v>2.2628571428571429</v>
      </c>
      <c r="O218" s="365"/>
      <c r="P218" s="401">
        <f t="shared" si="110"/>
        <v>0</v>
      </c>
      <c r="Q218" s="302"/>
      <c r="R218" s="302"/>
      <c r="S218" s="302"/>
      <c r="T218" s="302"/>
      <c r="U218" s="302"/>
      <c r="V218" s="302"/>
      <c r="W218" s="302"/>
      <c r="X218" s="302"/>
      <c r="Y218" s="302"/>
      <c r="Z218" s="302"/>
      <c r="AA218" s="302"/>
      <c r="AB218" s="302"/>
      <c r="AC218" s="302"/>
      <c r="AD218" s="302"/>
      <c r="AE218" s="302"/>
      <c r="AF218" s="302"/>
      <c r="AG218" s="391">
        <v>0</v>
      </c>
      <c r="AH218" s="392">
        <v>0</v>
      </c>
      <c r="AI218" s="392">
        <v>0</v>
      </c>
      <c r="AJ218" s="392">
        <v>0</v>
      </c>
      <c r="AK218" s="392">
        <v>0</v>
      </c>
      <c r="AL218" s="392">
        <v>0</v>
      </c>
      <c r="AM218" s="392">
        <v>0</v>
      </c>
      <c r="AN218" s="392">
        <v>0</v>
      </c>
      <c r="AO218" s="392">
        <v>0</v>
      </c>
      <c r="AP218" s="393">
        <v>0</v>
      </c>
      <c r="AQ218" s="391">
        <f t="shared" si="82"/>
        <v>0</v>
      </c>
      <c r="AR218" s="392">
        <f t="shared" si="83"/>
        <v>0</v>
      </c>
      <c r="AS218" s="392">
        <f t="shared" si="84"/>
        <v>0</v>
      </c>
      <c r="AT218" s="392">
        <f t="shared" si="85"/>
        <v>0</v>
      </c>
      <c r="AU218" s="392">
        <f t="shared" si="86"/>
        <v>0</v>
      </c>
      <c r="AV218" s="392">
        <f t="shared" si="87"/>
        <v>0</v>
      </c>
      <c r="AW218" s="392">
        <f t="shared" si="88"/>
        <v>0</v>
      </c>
      <c r="AX218" s="392">
        <f t="shared" si="89"/>
        <v>0</v>
      </c>
      <c r="AY218" s="392">
        <f t="shared" si="90"/>
        <v>0</v>
      </c>
      <c r="AZ218" s="393">
        <f t="shared" si="91"/>
        <v>0</v>
      </c>
      <c r="BA218" s="302"/>
      <c r="BB218" s="302"/>
      <c r="BC218" s="302"/>
      <c r="BD218" s="302"/>
      <c r="BE218" s="302"/>
      <c r="BF218" s="302"/>
      <c r="BG218" s="302"/>
      <c r="BH218" s="302"/>
      <c r="BI218" s="302"/>
      <c r="BJ218" s="302"/>
      <c r="BK218" s="302"/>
      <c r="BL218" s="302"/>
      <c r="BM218" s="302"/>
      <c r="BN218" s="302"/>
      <c r="BO218" s="302"/>
      <c r="BP218" s="302"/>
      <c r="BQ218" s="302"/>
      <c r="BR218" s="302"/>
      <c r="BS218" s="302"/>
      <c r="BT218" s="302"/>
      <c r="BU218" s="302"/>
    </row>
    <row r="219" spans="1:73">
      <c r="A219" s="325"/>
      <c r="B219" s="394"/>
      <c r="C219" s="570" t="s">
        <v>210</v>
      </c>
      <c r="D219" s="572">
        <v>7.5</v>
      </c>
      <c r="E219" s="572">
        <v>5.8810000000000002</v>
      </c>
      <c r="F219" s="395">
        <f t="shared" si="77"/>
        <v>1.75</v>
      </c>
      <c r="G219" s="382">
        <v>1200</v>
      </c>
      <c r="H219" s="396">
        <f t="shared" si="109"/>
        <v>1779</v>
      </c>
      <c r="I219" s="396">
        <v>1779</v>
      </c>
      <c r="J219" s="397"/>
      <c r="K219" s="570">
        <v>300</v>
      </c>
      <c r="L219" s="399">
        <f t="shared" si="78"/>
        <v>1.9782000000000002</v>
      </c>
      <c r="M219" s="395">
        <f t="shared" si="79"/>
        <v>1.98</v>
      </c>
      <c r="N219" s="400">
        <f t="shared" si="80"/>
        <v>2.2628571428571429</v>
      </c>
      <c r="O219" s="365"/>
      <c r="P219" s="401">
        <f t="shared" si="110"/>
        <v>0</v>
      </c>
      <c r="Q219" s="302"/>
      <c r="R219" s="302"/>
      <c r="S219" s="302"/>
      <c r="T219" s="302"/>
      <c r="U219" s="302"/>
      <c r="V219" s="302"/>
      <c r="W219" s="302"/>
      <c r="X219" s="302"/>
      <c r="Y219" s="302"/>
      <c r="Z219" s="302"/>
      <c r="AA219" s="302"/>
      <c r="AB219" s="302"/>
      <c r="AC219" s="302"/>
      <c r="AD219" s="302"/>
      <c r="AE219" s="302"/>
      <c r="AF219" s="302"/>
      <c r="AG219" s="391">
        <v>0</v>
      </c>
      <c r="AH219" s="392">
        <v>0</v>
      </c>
      <c r="AI219" s="392">
        <v>0</v>
      </c>
      <c r="AJ219" s="392">
        <v>0</v>
      </c>
      <c r="AK219" s="392">
        <v>0</v>
      </c>
      <c r="AL219" s="392">
        <v>0</v>
      </c>
      <c r="AM219" s="392">
        <v>0</v>
      </c>
      <c r="AN219" s="392">
        <v>0</v>
      </c>
      <c r="AO219" s="392">
        <v>0</v>
      </c>
      <c r="AP219" s="393">
        <v>0</v>
      </c>
      <c r="AQ219" s="391">
        <f t="shared" si="82"/>
        <v>0</v>
      </c>
      <c r="AR219" s="392">
        <f t="shared" si="83"/>
        <v>0</v>
      </c>
      <c r="AS219" s="392">
        <f t="shared" si="84"/>
        <v>0</v>
      </c>
      <c r="AT219" s="392">
        <f t="shared" si="85"/>
        <v>0</v>
      </c>
      <c r="AU219" s="392">
        <f t="shared" si="86"/>
        <v>0</v>
      </c>
      <c r="AV219" s="392">
        <f t="shared" si="87"/>
        <v>0</v>
      </c>
      <c r="AW219" s="392">
        <f t="shared" si="88"/>
        <v>0</v>
      </c>
      <c r="AX219" s="392">
        <f t="shared" si="89"/>
        <v>0</v>
      </c>
      <c r="AY219" s="392">
        <f t="shared" si="90"/>
        <v>0</v>
      </c>
      <c r="AZ219" s="393">
        <f t="shared" si="91"/>
        <v>0</v>
      </c>
      <c r="BA219" s="302"/>
      <c r="BB219" s="302"/>
      <c r="BC219" s="302"/>
      <c r="BD219" s="302"/>
      <c r="BE219" s="302"/>
      <c r="BF219" s="302"/>
      <c r="BG219" s="302"/>
      <c r="BH219" s="302"/>
      <c r="BI219" s="302"/>
      <c r="BJ219" s="302"/>
      <c r="BK219" s="302"/>
      <c r="BL219" s="302"/>
      <c r="BM219" s="302"/>
      <c r="BN219" s="302"/>
      <c r="BO219" s="302"/>
      <c r="BP219" s="302"/>
      <c r="BQ219" s="302"/>
      <c r="BR219" s="302"/>
      <c r="BS219" s="302"/>
      <c r="BT219" s="302"/>
      <c r="BU219" s="302"/>
    </row>
    <row r="220" spans="1:73">
      <c r="A220" s="325"/>
      <c r="B220" s="394"/>
      <c r="C220" s="570"/>
      <c r="D220" s="572"/>
      <c r="E220" s="572"/>
      <c r="F220" s="395">
        <f t="shared" si="77"/>
        <v>0</v>
      </c>
      <c r="G220" s="382"/>
      <c r="H220" s="396">
        <f t="shared" si="109"/>
        <v>1780</v>
      </c>
      <c r="I220" s="396">
        <v>1780</v>
      </c>
      <c r="J220" s="397"/>
      <c r="K220" s="570"/>
      <c r="L220" s="399">
        <f t="shared" si="78"/>
        <v>0</v>
      </c>
      <c r="M220" s="395">
        <f t="shared" si="79"/>
        <v>0</v>
      </c>
      <c r="N220" s="400">
        <f t="shared" si="80"/>
        <v>0</v>
      </c>
      <c r="O220" s="365"/>
      <c r="P220" s="401">
        <f t="shared" si="110"/>
        <v>0</v>
      </c>
      <c r="Q220" s="302"/>
      <c r="R220" s="302"/>
      <c r="S220" s="302"/>
      <c r="T220" s="302"/>
      <c r="U220" s="302"/>
      <c r="V220" s="302"/>
      <c r="W220" s="302"/>
      <c r="X220" s="302"/>
      <c r="Y220" s="302"/>
      <c r="Z220" s="302"/>
      <c r="AA220" s="302"/>
      <c r="AB220" s="302"/>
      <c r="AC220" s="302"/>
      <c r="AD220" s="302"/>
      <c r="AE220" s="302"/>
      <c r="AF220" s="302"/>
      <c r="AG220" s="391">
        <v>0</v>
      </c>
      <c r="AH220" s="392">
        <v>0</v>
      </c>
      <c r="AI220" s="392">
        <v>0</v>
      </c>
      <c r="AJ220" s="392">
        <v>0</v>
      </c>
      <c r="AK220" s="392">
        <v>0</v>
      </c>
      <c r="AL220" s="392">
        <v>0</v>
      </c>
      <c r="AM220" s="392">
        <v>0</v>
      </c>
      <c r="AN220" s="392">
        <v>0</v>
      </c>
      <c r="AO220" s="392">
        <v>0</v>
      </c>
      <c r="AP220" s="393">
        <v>0</v>
      </c>
      <c r="AQ220" s="391">
        <f t="shared" si="82"/>
        <v>0</v>
      </c>
      <c r="AR220" s="392">
        <f t="shared" si="83"/>
        <v>0</v>
      </c>
      <c r="AS220" s="392">
        <f t="shared" si="84"/>
        <v>0</v>
      </c>
      <c r="AT220" s="392">
        <f t="shared" si="85"/>
        <v>0</v>
      </c>
      <c r="AU220" s="392">
        <f t="shared" si="86"/>
        <v>0</v>
      </c>
      <c r="AV220" s="392">
        <f t="shared" si="87"/>
        <v>0</v>
      </c>
      <c r="AW220" s="392">
        <f t="shared" si="88"/>
        <v>0</v>
      </c>
      <c r="AX220" s="392">
        <f t="shared" si="89"/>
        <v>0</v>
      </c>
      <c r="AY220" s="392">
        <f t="shared" si="90"/>
        <v>0</v>
      </c>
      <c r="AZ220" s="393">
        <f t="shared" si="91"/>
        <v>0</v>
      </c>
      <c r="BA220" s="302"/>
      <c r="BB220" s="302"/>
      <c r="BC220" s="302"/>
      <c r="BD220" s="302"/>
      <c r="BE220" s="302"/>
      <c r="BF220" s="302"/>
      <c r="BG220" s="302"/>
      <c r="BH220" s="302"/>
      <c r="BI220" s="302"/>
      <c r="BJ220" s="302"/>
      <c r="BK220" s="302"/>
      <c r="BL220" s="302"/>
      <c r="BM220" s="302"/>
      <c r="BN220" s="302"/>
      <c r="BO220" s="302"/>
      <c r="BP220" s="302"/>
      <c r="BQ220" s="302"/>
      <c r="BR220" s="302"/>
      <c r="BS220" s="302"/>
      <c r="BT220" s="302"/>
      <c r="BU220" s="302"/>
    </row>
    <row r="221" spans="1:73">
      <c r="A221" s="325"/>
      <c r="B221" s="394"/>
      <c r="C221" s="570" t="s">
        <v>514</v>
      </c>
      <c r="D221" s="572">
        <v>7</v>
      </c>
      <c r="E221" s="572">
        <v>5.5940000000000003</v>
      </c>
      <c r="F221" s="395">
        <f t="shared" si="77"/>
        <v>1.5</v>
      </c>
      <c r="G221" s="382">
        <v>1200</v>
      </c>
      <c r="H221" s="396">
        <f t="shared" si="109"/>
        <v>1781</v>
      </c>
      <c r="I221" s="396">
        <v>1781</v>
      </c>
      <c r="J221" s="397"/>
      <c r="K221" s="570">
        <v>300</v>
      </c>
      <c r="L221" s="399">
        <f t="shared" si="78"/>
        <v>1.6956000000000002</v>
      </c>
      <c r="M221" s="395">
        <f t="shared" si="79"/>
        <v>1.6971428571428571</v>
      </c>
      <c r="N221" s="400">
        <f t="shared" si="80"/>
        <v>2.2628571428571429</v>
      </c>
      <c r="O221" s="365"/>
      <c r="P221" s="401">
        <f t="shared" si="110"/>
        <v>0</v>
      </c>
      <c r="Q221" s="302"/>
      <c r="R221" s="302"/>
      <c r="S221" s="302"/>
      <c r="T221" s="302"/>
      <c r="U221" s="302"/>
      <c r="V221" s="302"/>
      <c r="W221" s="302"/>
      <c r="X221" s="302"/>
      <c r="Y221" s="302"/>
      <c r="Z221" s="302"/>
      <c r="AA221" s="302"/>
      <c r="AB221" s="302"/>
      <c r="AC221" s="302"/>
      <c r="AD221" s="302"/>
      <c r="AE221" s="302"/>
      <c r="AF221" s="302"/>
      <c r="AG221" s="391">
        <v>0</v>
      </c>
      <c r="AH221" s="392">
        <v>0</v>
      </c>
      <c r="AI221" s="392">
        <v>0</v>
      </c>
      <c r="AJ221" s="392">
        <v>0</v>
      </c>
      <c r="AK221" s="392">
        <v>0</v>
      </c>
      <c r="AL221" s="392">
        <v>0</v>
      </c>
      <c r="AM221" s="392">
        <v>0</v>
      </c>
      <c r="AN221" s="392">
        <v>0</v>
      </c>
      <c r="AO221" s="392">
        <v>0</v>
      </c>
      <c r="AP221" s="393">
        <v>0</v>
      </c>
      <c r="AQ221" s="391">
        <f t="shared" si="82"/>
        <v>0</v>
      </c>
      <c r="AR221" s="392">
        <f t="shared" si="83"/>
        <v>0</v>
      </c>
      <c r="AS221" s="392">
        <f t="shared" si="84"/>
        <v>0</v>
      </c>
      <c r="AT221" s="392">
        <f t="shared" si="85"/>
        <v>0</v>
      </c>
      <c r="AU221" s="392">
        <f t="shared" si="86"/>
        <v>0</v>
      </c>
      <c r="AV221" s="392">
        <f t="shared" si="87"/>
        <v>0</v>
      </c>
      <c r="AW221" s="392">
        <f t="shared" si="88"/>
        <v>0</v>
      </c>
      <c r="AX221" s="392">
        <f t="shared" si="89"/>
        <v>0</v>
      </c>
      <c r="AY221" s="392">
        <f t="shared" si="90"/>
        <v>0</v>
      </c>
      <c r="AZ221" s="393">
        <f t="shared" si="91"/>
        <v>0</v>
      </c>
      <c r="BA221" s="302"/>
      <c r="BB221" s="302"/>
      <c r="BC221" s="302"/>
      <c r="BD221" s="302"/>
      <c r="BE221" s="302"/>
      <c r="BF221" s="302"/>
      <c r="BG221" s="302"/>
      <c r="BH221" s="302"/>
      <c r="BI221" s="302"/>
      <c r="BJ221" s="302"/>
      <c r="BK221" s="302"/>
      <c r="BL221" s="302"/>
      <c r="BM221" s="302"/>
      <c r="BN221" s="302"/>
      <c r="BO221" s="302"/>
      <c r="BP221" s="302"/>
      <c r="BQ221" s="302"/>
      <c r="BR221" s="302"/>
      <c r="BS221" s="302"/>
      <c r="BT221" s="302"/>
      <c r="BU221" s="302"/>
    </row>
    <row r="222" spans="1:73">
      <c r="A222" s="325"/>
      <c r="B222" s="394"/>
      <c r="C222" s="394"/>
      <c r="D222" s="326"/>
      <c r="E222" s="326"/>
      <c r="F222" s="395">
        <f t="shared" si="77"/>
        <v>0</v>
      </c>
      <c r="G222" s="394"/>
      <c r="H222" s="396">
        <f t="shared" si="109"/>
        <v>1782</v>
      </c>
      <c r="I222" s="396">
        <v>1782</v>
      </c>
      <c r="J222" s="397"/>
      <c r="K222" s="398"/>
      <c r="L222" s="399">
        <f t="shared" si="78"/>
        <v>0</v>
      </c>
      <c r="M222" s="395">
        <f t="shared" si="79"/>
        <v>0</v>
      </c>
      <c r="N222" s="400">
        <f t="shared" si="80"/>
        <v>0</v>
      </c>
      <c r="O222" s="365"/>
      <c r="P222" s="401">
        <f t="shared" si="110"/>
        <v>0</v>
      </c>
      <c r="Q222" s="302"/>
      <c r="R222" s="302"/>
      <c r="S222" s="302"/>
      <c r="T222" s="302"/>
      <c r="U222" s="302"/>
      <c r="V222" s="302"/>
      <c r="W222" s="302"/>
      <c r="X222" s="302"/>
      <c r="Y222" s="302"/>
      <c r="Z222" s="302"/>
      <c r="AA222" s="302"/>
      <c r="AB222" s="302"/>
      <c r="AC222" s="302"/>
      <c r="AD222" s="302"/>
      <c r="AE222" s="302"/>
      <c r="AF222" s="302"/>
      <c r="AG222" s="391">
        <v>0</v>
      </c>
      <c r="AH222" s="392">
        <v>0</v>
      </c>
      <c r="AI222" s="392">
        <v>0</v>
      </c>
      <c r="AJ222" s="392">
        <v>0</v>
      </c>
      <c r="AK222" s="392">
        <v>0</v>
      </c>
      <c r="AL222" s="392">
        <v>0</v>
      </c>
      <c r="AM222" s="392">
        <v>0</v>
      </c>
      <c r="AN222" s="392">
        <v>0</v>
      </c>
      <c r="AO222" s="392">
        <v>0</v>
      </c>
      <c r="AP222" s="393">
        <v>0</v>
      </c>
      <c r="AQ222" s="391">
        <f t="shared" si="82"/>
        <v>0</v>
      </c>
      <c r="AR222" s="392">
        <f t="shared" si="83"/>
        <v>0</v>
      </c>
      <c r="AS222" s="392">
        <f t="shared" si="84"/>
        <v>0</v>
      </c>
      <c r="AT222" s="392">
        <f t="shared" si="85"/>
        <v>0</v>
      </c>
      <c r="AU222" s="392">
        <f t="shared" si="86"/>
        <v>0</v>
      </c>
      <c r="AV222" s="392">
        <f t="shared" si="87"/>
        <v>0</v>
      </c>
      <c r="AW222" s="392">
        <f t="shared" si="88"/>
        <v>0</v>
      </c>
      <c r="AX222" s="392">
        <f t="shared" si="89"/>
        <v>0</v>
      </c>
      <c r="AY222" s="392">
        <f t="shared" si="90"/>
        <v>0</v>
      </c>
      <c r="AZ222" s="393">
        <f t="shared" si="91"/>
        <v>0</v>
      </c>
      <c r="BA222" s="302"/>
      <c r="BB222" s="302"/>
      <c r="BC222" s="302"/>
      <c r="BD222" s="302"/>
      <c r="BE222" s="302"/>
      <c r="BF222" s="302"/>
      <c r="BG222" s="302"/>
      <c r="BH222" s="302"/>
      <c r="BI222" s="302"/>
      <c r="BJ222" s="302"/>
      <c r="BK222" s="302"/>
      <c r="BL222" s="302"/>
      <c r="BM222" s="302"/>
      <c r="BN222" s="302"/>
      <c r="BO222" s="302"/>
      <c r="BP222" s="302"/>
      <c r="BQ222" s="302"/>
      <c r="BR222" s="302"/>
      <c r="BS222" s="302"/>
      <c r="BT222" s="302"/>
      <c r="BU222" s="302"/>
    </row>
    <row r="223" spans="1:73">
      <c r="A223" s="325"/>
      <c r="B223" s="394"/>
      <c r="C223" s="394"/>
      <c r="D223" s="326"/>
      <c r="E223" s="326"/>
      <c r="F223" s="395">
        <f t="shared" si="77"/>
        <v>0</v>
      </c>
      <c r="G223" s="394"/>
      <c r="H223" s="396">
        <f t="shared" ref="H223:H238" si="111">IF((SUM(AQ223:AZ223))&gt;I223,SUM(AQ223:AZ223),I223)</f>
        <v>0</v>
      </c>
      <c r="I223" s="396">
        <v>0</v>
      </c>
      <c r="J223" s="397"/>
      <c r="K223" s="398"/>
      <c r="L223" s="399">
        <f t="shared" si="78"/>
        <v>0</v>
      </c>
      <c r="M223" s="395">
        <f t="shared" si="79"/>
        <v>0</v>
      </c>
      <c r="N223" s="400">
        <f t="shared" si="80"/>
        <v>0</v>
      </c>
      <c r="O223" s="365"/>
      <c r="P223" s="401">
        <f t="shared" si="110"/>
        <v>0</v>
      </c>
      <c r="Q223" s="302"/>
      <c r="R223" s="302"/>
      <c r="S223" s="302"/>
      <c r="T223" s="302"/>
      <c r="U223" s="302"/>
      <c r="V223" s="302"/>
      <c r="W223" s="302"/>
      <c r="X223" s="302"/>
      <c r="Y223" s="302"/>
      <c r="Z223" s="302"/>
      <c r="AA223" s="302"/>
      <c r="AB223" s="302"/>
      <c r="AC223" s="302"/>
      <c r="AD223" s="302"/>
      <c r="AE223" s="302"/>
      <c r="AF223" s="302"/>
      <c r="AG223" s="391">
        <v>0</v>
      </c>
      <c r="AH223" s="392">
        <v>0</v>
      </c>
      <c r="AI223" s="392">
        <v>0</v>
      </c>
      <c r="AJ223" s="392">
        <v>0</v>
      </c>
      <c r="AK223" s="392">
        <v>0</v>
      </c>
      <c r="AL223" s="392">
        <v>0</v>
      </c>
      <c r="AM223" s="392">
        <v>0</v>
      </c>
      <c r="AN223" s="392">
        <v>0</v>
      </c>
      <c r="AO223" s="392">
        <v>0</v>
      </c>
      <c r="AP223" s="393">
        <v>0</v>
      </c>
      <c r="AQ223" s="391">
        <f t="shared" si="82"/>
        <v>0</v>
      </c>
      <c r="AR223" s="392">
        <f t="shared" si="83"/>
        <v>0</v>
      </c>
      <c r="AS223" s="392">
        <f t="shared" si="84"/>
        <v>0</v>
      </c>
      <c r="AT223" s="392">
        <f t="shared" si="85"/>
        <v>0</v>
      </c>
      <c r="AU223" s="392">
        <f t="shared" si="86"/>
        <v>0</v>
      </c>
      <c r="AV223" s="392">
        <f t="shared" si="87"/>
        <v>0</v>
      </c>
      <c r="AW223" s="392">
        <f t="shared" si="88"/>
        <v>0</v>
      </c>
      <c r="AX223" s="392">
        <f t="shared" si="89"/>
        <v>0</v>
      </c>
      <c r="AY223" s="392">
        <f t="shared" si="90"/>
        <v>0</v>
      </c>
      <c r="AZ223" s="393">
        <f t="shared" si="91"/>
        <v>0</v>
      </c>
      <c r="BA223" s="302"/>
      <c r="BB223" s="302"/>
      <c r="BC223" s="302"/>
      <c r="BD223" s="302"/>
      <c r="BE223" s="302"/>
      <c r="BF223" s="302"/>
      <c r="BG223" s="302"/>
      <c r="BH223" s="302"/>
      <c r="BI223" s="302"/>
      <c r="BJ223" s="302"/>
      <c r="BK223" s="302"/>
      <c r="BL223" s="302"/>
      <c r="BM223" s="302"/>
      <c r="BN223" s="302"/>
      <c r="BO223" s="302"/>
      <c r="BP223" s="302"/>
      <c r="BQ223" s="302"/>
      <c r="BR223" s="302"/>
      <c r="BS223" s="302"/>
      <c r="BT223" s="302"/>
      <c r="BU223" s="302"/>
    </row>
    <row r="224" spans="1:73">
      <c r="A224" s="325"/>
      <c r="B224" s="394"/>
      <c r="C224" s="394"/>
      <c r="D224" s="326"/>
      <c r="E224" s="326"/>
      <c r="F224" s="395">
        <f t="shared" si="77"/>
        <v>0</v>
      </c>
      <c r="G224" s="394"/>
      <c r="H224" s="396">
        <f t="shared" si="111"/>
        <v>0</v>
      </c>
      <c r="I224" s="396">
        <v>0</v>
      </c>
      <c r="J224" s="397"/>
      <c r="K224" s="398"/>
      <c r="L224" s="399">
        <f t="shared" si="78"/>
        <v>0</v>
      </c>
      <c r="M224" s="395">
        <f t="shared" si="79"/>
        <v>0</v>
      </c>
      <c r="N224" s="400">
        <f t="shared" si="80"/>
        <v>0</v>
      </c>
      <c r="O224" s="365"/>
      <c r="P224" s="401">
        <f t="shared" si="110"/>
        <v>0</v>
      </c>
      <c r="Q224" s="302"/>
      <c r="R224" s="302"/>
      <c r="S224" s="302"/>
      <c r="T224" s="302"/>
      <c r="U224" s="302"/>
      <c r="V224" s="302"/>
      <c r="W224" s="302"/>
      <c r="X224" s="302"/>
      <c r="Y224" s="302"/>
      <c r="Z224" s="302"/>
      <c r="AA224" s="302"/>
      <c r="AB224" s="302"/>
      <c r="AC224" s="302"/>
      <c r="AD224" s="302"/>
      <c r="AE224" s="302"/>
      <c r="AF224" s="302"/>
      <c r="AG224" s="391">
        <v>0</v>
      </c>
      <c r="AH224" s="392">
        <v>0</v>
      </c>
      <c r="AI224" s="392">
        <v>0</v>
      </c>
      <c r="AJ224" s="392">
        <v>0</v>
      </c>
      <c r="AK224" s="392">
        <v>0</v>
      </c>
      <c r="AL224" s="392">
        <v>0</v>
      </c>
      <c r="AM224" s="392">
        <v>0</v>
      </c>
      <c r="AN224" s="392">
        <v>0</v>
      </c>
      <c r="AO224" s="392">
        <v>0</v>
      </c>
      <c r="AP224" s="393">
        <v>0</v>
      </c>
      <c r="AQ224" s="391">
        <f t="shared" si="82"/>
        <v>0</v>
      </c>
      <c r="AR224" s="392">
        <f t="shared" si="83"/>
        <v>0</v>
      </c>
      <c r="AS224" s="392">
        <f t="shared" si="84"/>
        <v>0</v>
      </c>
      <c r="AT224" s="392">
        <f t="shared" si="85"/>
        <v>0</v>
      </c>
      <c r="AU224" s="392">
        <f t="shared" si="86"/>
        <v>0</v>
      </c>
      <c r="AV224" s="392">
        <f t="shared" si="87"/>
        <v>0</v>
      </c>
      <c r="AW224" s="392">
        <f t="shared" si="88"/>
        <v>0</v>
      </c>
      <c r="AX224" s="392">
        <f t="shared" si="89"/>
        <v>0</v>
      </c>
      <c r="AY224" s="392">
        <f t="shared" si="90"/>
        <v>0</v>
      </c>
      <c r="AZ224" s="393">
        <f t="shared" si="91"/>
        <v>0</v>
      </c>
      <c r="BA224" s="302"/>
      <c r="BB224" s="302"/>
      <c r="BC224" s="302"/>
      <c r="BD224" s="302"/>
      <c r="BE224" s="302"/>
      <c r="BF224" s="302"/>
      <c r="BG224" s="302"/>
      <c r="BH224" s="302"/>
      <c r="BI224" s="302"/>
      <c r="BJ224" s="302"/>
      <c r="BK224" s="302"/>
      <c r="BL224" s="302"/>
      <c r="BM224" s="302"/>
      <c r="BN224" s="302"/>
      <c r="BO224" s="302"/>
      <c r="BP224" s="302"/>
      <c r="BQ224" s="302"/>
      <c r="BR224" s="302"/>
      <c r="BS224" s="302"/>
      <c r="BT224" s="302"/>
      <c r="BU224" s="302"/>
    </row>
    <row r="225" spans="1:73">
      <c r="A225" s="325"/>
      <c r="B225" s="394"/>
      <c r="C225" s="394"/>
      <c r="D225" s="326"/>
      <c r="E225" s="326"/>
      <c r="F225" s="395">
        <f t="shared" si="77"/>
        <v>0</v>
      </c>
      <c r="G225" s="394"/>
      <c r="H225" s="396">
        <f t="shared" si="111"/>
        <v>0</v>
      </c>
      <c r="I225" s="396">
        <v>0</v>
      </c>
      <c r="J225" s="397"/>
      <c r="K225" s="398"/>
      <c r="L225" s="399">
        <f t="shared" si="78"/>
        <v>0</v>
      </c>
      <c r="M225" s="395">
        <f t="shared" si="79"/>
        <v>0</v>
      </c>
      <c r="N225" s="400">
        <f t="shared" si="80"/>
        <v>0</v>
      </c>
      <c r="O225" s="365"/>
      <c r="P225" s="401">
        <f t="shared" si="110"/>
        <v>0</v>
      </c>
      <c r="Q225" s="302"/>
      <c r="R225" s="302"/>
      <c r="S225" s="302"/>
      <c r="T225" s="302"/>
      <c r="U225" s="302"/>
      <c r="V225" s="302"/>
      <c r="W225" s="302"/>
      <c r="X225" s="302"/>
      <c r="Y225" s="302"/>
      <c r="Z225" s="302"/>
      <c r="AA225" s="302"/>
      <c r="AB225" s="302"/>
      <c r="AC225" s="302"/>
      <c r="AD225" s="302"/>
      <c r="AE225" s="302"/>
      <c r="AF225" s="302"/>
      <c r="AG225" s="391">
        <v>0</v>
      </c>
      <c r="AH225" s="392">
        <v>0</v>
      </c>
      <c r="AI225" s="392">
        <v>0</v>
      </c>
      <c r="AJ225" s="392">
        <v>0</v>
      </c>
      <c r="AK225" s="392">
        <v>0</v>
      </c>
      <c r="AL225" s="392">
        <v>0</v>
      </c>
      <c r="AM225" s="392">
        <v>0</v>
      </c>
      <c r="AN225" s="392">
        <v>0</v>
      </c>
      <c r="AO225" s="392">
        <v>0</v>
      </c>
      <c r="AP225" s="393">
        <v>0</v>
      </c>
      <c r="AQ225" s="391">
        <f t="shared" si="82"/>
        <v>0</v>
      </c>
      <c r="AR225" s="392">
        <f t="shared" si="83"/>
        <v>0</v>
      </c>
      <c r="AS225" s="392">
        <f t="shared" si="84"/>
        <v>0</v>
      </c>
      <c r="AT225" s="392">
        <f t="shared" si="85"/>
        <v>0</v>
      </c>
      <c r="AU225" s="392">
        <f t="shared" si="86"/>
        <v>0</v>
      </c>
      <c r="AV225" s="392">
        <f t="shared" si="87"/>
        <v>0</v>
      </c>
      <c r="AW225" s="392">
        <f t="shared" si="88"/>
        <v>0</v>
      </c>
      <c r="AX225" s="392">
        <f t="shared" si="89"/>
        <v>0</v>
      </c>
      <c r="AY225" s="392">
        <f t="shared" si="90"/>
        <v>0</v>
      </c>
      <c r="AZ225" s="393">
        <f t="shared" si="91"/>
        <v>0</v>
      </c>
      <c r="BA225" s="302"/>
      <c r="BB225" s="302"/>
      <c r="BC225" s="302"/>
      <c r="BD225" s="302"/>
      <c r="BE225" s="302"/>
      <c r="BF225" s="302"/>
      <c r="BG225" s="302"/>
      <c r="BH225" s="302"/>
      <c r="BI225" s="302"/>
      <c r="BJ225" s="302"/>
      <c r="BK225" s="302"/>
      <c r="BL225" s="302"/>
      <c r="BM225" s="302"/>
      <c r="BN225" s="302"/>
      <c r="BO225" s="302"/>
      <c r="BP225" s="302"/>
      <c r="BQ225" s="302"/>
      <c r="BR225" s="302"/>
      <c r="BS225" s="302"/>
      <c r="BT225" s="302"/>
      <c r="BU225" s="302"/>
    </row>
    <row r="226" spans="1:73">
      <c r="A226" s="325"/>
      <c r="B226" s="394"/>
      <c r="C226" s="394"/>
      <c r="D226" s="326"/>
      <c r="E226" s="326"/>
      <c r="F226" s="395">
        <f t="shared" si="77"/>
        <v>0</v>
      </c>
      <c r="G226" s="394"/>
      <c r="H226" s="396">
        <f t="shared" si="111"/>
        <v>0</v>
      </c>
      <c r="I226" s="396">
        <v>0</v>
      </c>
      <c r="J226" s="397"/>
      <c r="K226" s="398"/>
      <c r="L226" s="399">
        <f t="shared" si="78"/>
        <v>0</v>
      </c>
      <c r="M226" s="395">
        <f t="shared" si="79"/>
        <v>0</v>
      </c>
      <c r="N226" s="400">
        <f t="shared" si="80"/>
        <v>0</v>
      </c>
      <c r="O226" s="365"/>
      <c r="P226" s="401">
        <f t="shared" si="110"/>
        <v>0</v>
      </c>
      <c r="Q226" s="302"/>
      <c r="R226" s="302"/>
      <c r="S226" s="302"/>
      <c r="T226" s="302"/>
      <c r="U226" s="302"/>
      <c r="V226" s="302"/>
      <c r="W226" s="302"/>
      <c r="X226" s="302"/>
      <c r="Y226" s="302"/>
      <c r="Z226" s="302"/>
      <c r="AA226" s="302"/>
      <c r="AB226" s="302"/>
      <c r="AC226" s="302"/>
      <c r="AD226" s="302"/>
      <c r="AE226" s="302"/>
      <c r="AF226" s="302"/>
      <c r="AG226" s="391">
        <v>0</v>
      </c>
      <c r="AH226" s="392">
        <v>0</v>
      </c>
      <c r="AI226" s="392">
        <v>0</v>
      </c>
      <c r="AJ226" s="392">
        <v>0</v>
      </c>
      <c r="AK226" s="392">
        <v>0</v>
      </c>
      <c r="AL226" s="392">
        <v>0</v>
      </c>
      <c r="AM226" s="392">
        <v>0</v>
      </c>
      <c r="AN226" s="392">
        <v>0</v>
      </c>
      <c r="AO226" s="392">
        <v>0</v>
      </c>
      <c r="AP226" s="393">
        <v>0</v>
      </c>
      <c r="AQ226" s="391">
        <f t="shared" si="82"/>
        <v>0</v>
      </c>
      <c r="AR226" s="392">
        <f t="shared" si="83"/>
        <v>0</v>
      </c>
      <c r="AS226" s="392">
        <f t="shared" si="84"/>
        <v>0</v>
      </c>
      <c r="AT226" s="392">
        <f t="shared" si="85"/>
        <v>0</v>
      </c>
      <c r="AU226" s="392">
        <f t="shared" si="86"/>
        <v>0</v>
      </c>
      <c r="AV226" s="392">
        <f t="shared" si="87"/>
        <v>0</v>
      </c>
      <c r="AW226" s="392">
        <f t="shared" si="88"/>
        <v>0</v>
      </c>
      <c r="AX226" s="392">
        <f t="shared" si="89"/>
        <v>0</v>
      </c>
      <c r="AY226" s="392">
        <f t="shared" si="90"/>
        <v>0</v>
      </c>
      <c r="AZ226" s="393">
        <f t="shared" si="91"/>
        <v>0</v>
      </c>
      <c r="BA226" s="302"/>
      <c r="BB226" s="302"/>
      <c r="BC226" s="302"/>
      <c r="BD226" s="302"/>
      <c r="BE226" s="302"/>
      <c r="BF226" s="302"/>
      <c r="BG226" s="302"/>
      <c r="BH226" s="302"/>
      <c r="BI226" s="302"/>
      <c r="BJ226" s="302"/>
      <c r="BK226" s="302"/>
      <c r="BL226" s="302"/>
      <c r="BM226" s="302"/>
      <c r="BN226" s="302"/>
      <c r="BO226" s="302"/>
      <c r="BP226" s="302"/>
      <c r="BQ226" s="302"/>
      <c r="BR226" s="302"/>
      <c r="BS226" s="302"/>
      <c r="BT226" s="302"/>
      <c r="BU226" s="302"/>
    </row>
    <row r="227" spans="1:73">
      <c r="A227" s="325"/>
      <c r="B227" s="394"/>
      <c r="C227" s="394"/>
      <c r="D227" s="326"/>
      <c r="E227" s="326"/>
      <c r="F227" s="395">
        <f t="shared" si="77"/>
        <v>0</v>
      </c>
      <c r="G227" s="394"/>
      <c r="H227" s="396">
        <f t="shared" si="111"/>
        <v>0</v>
      </c>
      <c r="I227" s="396">
        <v>0</v>
      </c>
      <c r="J227" s="397"/>
      <c r="K227" s="398"/>
      <c r="L227" s="399">
        <f t="shared" si="78"/>
        <v>0</v>
      </c>
      <c r="M227" s="395">
        <f t="shared" si="79"/>
        <v>0</v>
      </c>
      <c r="N227" s="400">
        <f t="shared" si="80"/>
        <v>0</v>
      </c>
      <c r="O227" s="365"/>
      <c r="P227" s="401">
        <f t="shared" si="110"/>
        <v>0</v>
      </c>
      <c r="Q227" s="302"/>
      <c r="R227" s="302"/>
      <c r="S227" s="302"/>
      <c r="T227" s="302"/>
      <c r="U227" s="302"/>
      <c r="V227" s="302"/>
      <c r="W227" s="302"/>
      <c r="X227" s="302"/>
      <c r="Y227" s="302"/>
      <c r="Z227" s="302"/>
      <c r="AA227" s="302"/>
      <c r="AB227" s="302"/>
      <c r="AC227" s="302"/>
      <c r="AD227" s="302"/>
      <c r="AE227" s="302"/>
      <c r="AF227" s="302"/>
      <c r="AG227" s="391">
        <v>0</v>
      </c>
      <c r="AH227" s="392">
        <v>0</v>
      </c>
      <c r="AI227" s="392">
        <v>0</v>
      </c>
      <c r="AJ227" s="392">
        <v>0</v>
      </c>
      <c r="AK227" s="392">
        <v>0</v>
      </c>
      <c r="AL227" s="392">
        <v>0</v>
      </c>
      <c r="AM227" s="392">
        <v>0</v>
      </c>
      <c r="AN227" s="392">
        <v>0</v>
      </c>
      <c r="AO227" s="392">
        <v>0</v>
      </c>
      <c r="AP227" s="393">
        <v>0</v>
      </c>
      <c r="AQ227" s="391">
        <f t="shared" si="82"/>
        <v>0</v>
      </c>
      <c r="AR227" s="392">
        <f t="shared" si="83"/>
        <v>0</v>
      </c>
      <c r="AS227" s="392">
        <f t="shared" si="84"/>
        <v>0</v>
      </c>
      <c r="AT227" s="392">
        <f t="shared" si="85"/>
        <v>0</v>
      </c>
      <c r="AU227" s="392">
        <f t="shared" si="86"/>
        <v>0</v>
      </c>
      <c r="AV227" s="392">
        <f t="shared" si="87"/>
        <v>0</v>
      </c>
      <c r="AW227" s="392">
        <f t="shared" si="88"/>
        <v>0</v>
      </c>
      <c r="AX227" s="392">
        <f t="shared" si="89"/>
        <v>0</v>
      </c>
      <c r="AY227" s="392">
        <f t="shared" si="90"/>
        <v>0</v>
      </c>
      <c r="AZ227" s="393">
        <f t="shared" si="91"/>
        <v>0</v>
      </c>
      <c r="BA227" s="302"/>
      <c r="BB227" s="302"/>
      <c r="BC227" s="302"/>
      <c r="BD227" s="302"/>
      <c r="BE227" s="302"/>
      <c r="BF227" s="302"/>
      <c r="BG227" s="302"/>
      <c r="BH227" s="302"/>
      <c r="BI227" s="302"/>
      <c r="BJ227" s="302"/>
      <c r="BK227" s="302"/>
      <c r="BL227" s="302"/>
      <c r="BM227" s="302"/>
      <c r="BN227" s="302"/>
      <c r="BO227" s="302"/>
      <c r="BP227" s="302"/>
      <c r="BQ227" s="302"/>
      <c r="BR227" s="302"/>
      <c r="BS227" s="302"/>
      <c r="BT227" s="302"/>
      <c r="BU227" s="302"/>
    </row>
    <row r="228" spans="1:73">
      <c r="A228" s="325"/>
      <c r="B228" s="394"/>
      <c r="C228" s="394"/>
      <c r="D228" s="326"/>
      <c r="E228" s="326"/>
      <c r="F228" s="395">
        <f t="shared" si="77"/>
        <v>0</v>
      </c>
      <c r="G228" s="394"/>
      <c r="H228" s="396">
        <f t="shared" si="111"/>
        <v>0</v>
      </c>
      <c r="I228" s="396">
        <v>0</v>
      </c>
      <c r="J228" s="397"/>
      <c r="K228" s="398"/>
      <c r="L228" s="399">
        <f t="shared" si="78"/>
        <v>0</v>
      </c>
      <c r="M228" s="395">
        <f t="shared" si="79"/>
        <v>0</v>
      </c>
      <c r="N228" s="400">
        <f t="shared" si="80"/>
        <v>0</v>
      </c>
      <c r="O228" s="365"/>
      <c r="P228" s="401">
        <f t="shared" si="110"/>
        <v>0</v>
      </c>
      <c r="Q228" s="302"/>
      <c r="R228" s="302"/>
      <c r="S228" s="302"/>
      <c r="T228" s="302"/>
      <c r="U228" s="302"/>
      <c r="V228" s="302"/>
      <c r="W228" s="302"/>
      <c r="X228" s="302"/>
      <c r="Y228" s="302"/>
      <c r="Z228" s="302"/>
      <c r="AA228" s="302"/>
      <c r="AB228" s="302"/>
      <c r="AC228" s="302"/>
      <c r="AD228" s="302"/>
      <c r="AE228" s="302"/>
      <c r="AF228" s="302"/>
      <c r="AG228" s="391">
        <v>0</v>
      </c>
      <c r="AH228" s="392">
        <v>0</v>
      </c>
      <c r="AI228" s="392">
        <v>0</v>
      </c>
      <c r="AJ228" s="392">
        <v>0</v>
      </c>
      <c r="AK228" s="392">
        <v>0</v>
      </c>
      <c r="AL228" s="392">
        <v>0</v>
      </c>
      <c r="AM228" s="392">
        <v>0</v>
      </c>
      <c r="AN228" s="392">
        <v>0</v>
      </c>
      <c r="AO228" s="392">
        <v>0</v>
      </c>
      <c r="AP228" s="393">
        <v>0</v>
      </c>
      <c r="AQ228" s="391">
        <f t="shared" si="82"/>
        <v>0</v>
      </c>
      <c r="AR228" s="392">
        <f t="shared" si="83"/>
        <v>0</v>
      </c>
      <c r="AS228" s="392">
        <f t="shared" si="84"/>
        <v>0</v>
      </c>
      <c r="AT228" s="392">
        <f t="shared" si="85"/>
        <v>0</v>
      </c>
      <c r="AU228" s="392">
        <f t="shared" si="86"/>
        <v>0</v>
      </c>
      <c r="AV228" s="392">
        <f t="shared" si="87"/>
        <v>0</v>
      </c>
      <c r="AW228" s="392">
        <f t="shared" si="88"/>
        <v>0</v>
      </c>
      <c r="AX228" s="392">
        <f t="shared" si="89"/>
        <v>0</v>
      </c>
      <c r="AY228" s="392">
        <f t="shared" si="90"/>
        <v>0</v>
      </c>
      <c r="AZ228" s="393">
        <f t="shared" si="91"/>
        <v>0</v>
      </c>
      <c r="BA228" s="302"/>
      <c r="BB228" s="302"/>
      <c r="BC228" s="302"/>
      <c r="BD228" s="302"/>
      <c r="BE228" s="302"/>
      <c r="BF228" s="302"/>
      <c r="BG228" s="302"/>
      <c r="BH228" s="302"/>
      <c r="BI228" s="302"/>
      <c r="BJ228" s="302"/>
      <c r="BK228" s="302"/>
      <c r="BL228" s="302"/>
      <c r="BM228" s="302"/>
      <c r="BN228" s="302"/>
      <c r="BO228" s="302"/>
      <c r="BP228" s="302"/>
      <c r="BQ228" s="302"/>
      <c r="BR228" s="302"/>
      <c r="BS228" s="302"/>
      <c r="BT228" s="302"/>
      <c r="BU228" s="302"/>
    </row>
    <row r="229" spans="1:73">
      <c r="A229" s="325"/>
      <c r="B229" s="394"/>
      <c r="C229" s="394"/>
      <c r="D229" s="326"/>
      <c r="E229" s="326"/>
      <c r="F229" s="395">
        <f t="shared" si="77"/>
        <v>0</v>
      </c>
      <c r="G229" s="394"/>
      <c r="H229" s="396">
        <f t="shared" si="111"/>
        <v>0</v>
      </c>
      <c r="I229" s="396">
        <v>0</v>
      </c>
      <c r="J229" s="397"/>
      <c r="K229" s="398"/>
      <c r="L229" s="399">
        <f t="shared" si="78"/>
        <v>0</v>
      </c>
      <c r="M229" s="395">
        <f t="shared" si="79"/>
        <v>0</v>
      </c>
      <c r="N229" s="400">
        <f t="shared" si="80"/>
        <v>0</v>
      </c>
      <c r="O229" s="365"/>
      <c r="P229" s="401">
        <f t="shared" si="110"/>
        <v>0</v>
      </c>
      <c r="Q229" s="302"/>
      <c r="R229" s="302"/>
      <c r="S229" s="302"/>
      <c r="T229" s="302"/>
      <c r="U229" s="302"/>
      <c r="V229" s="302"/>
      <c r="W229" s="302"/>
      <c r="X229" s="302"/>
      <c r="Y229" s="302"/>
      <c r="Z229" s="302"/>
      <c r="AA229" s="302"/>
      <c r="AB229" s="302"/>
      <c r="AC229" s="302"/>
      <c r="AD229" s="302"/>
      <c r="AE229" s="302"/>
      <c r="AF229" s="302"/>
      <c r="AG229" s="391">
        <v>0</v>
      </c>
      <c r="AH229" s="392">
        <v>0</v>
      </c>
      <c r="AI229" s="392">
        <v>0</v>
      </c>
      <c r="AJ229" s="392">
        <v>0</v>
      </c>
      <c r="AK229" s="392">
        <v>0</v>
      </c>
      <c r="AL229" s="392">
        <v>0</v>
      </c>
      <c r="AM229" s="392">
        <v>0</v>
      </c>
      <c r="AN229" s="392">
        <v>0</v>
      </c>
      <c r="AO229" s="392">
        <v>0</v>
      </c>
      <c r="AP229" s="393">
        <v>0</v>
      </c>
      <c r="AQ229" s="391">
        <f t="shared" si="82"/>
        <v>0</v>
      </c>
      <c r="AR229" s="392">
        <f t="shared" si="83"/>
        <v>0</v>
      </c>
      <c r="AS229" s="392">
        <f t="shared" si="84"/>
        <v>0</v>
      </c>
      <c r="AT229" s="392">
        <f t="shared" si="85"/>
        <v>0</v>
      </c>
      <c r="AU229" s="392">
        <f t="shared" si="86"/>
        <v>0</v>
      </c>
      <c r="AV229" s="392">
        <f t="shared" si="87"/>
        <v>0</v>
      </c>
      <c r="AW229" s="392">
        <f t="shared" si="88"/>
        <v>0</v>
      </c>
      <c r="AX229" s="392">
        <f t="shared" si="89"/>
        <v>0</v>
      </c>
      <c r="AY229" s="392">
        <f t="shared" si="90"/>
        <v>0</v>
      </c>
      <c r="AZ229" s="393">
        <f t="shared" si="91"/>
        <v>0</v>
      </c>
      <c r="BA229" s="302"/>
      <c r="BB229" s="302"/>
      <c r="BC229" s="302"/>
      <c r="BD229" s="302"/>
      <c r="BE229" s="302"/>
      <c r="BF229" s="302"/>
      <c r="BG229" s="302"/>
      <c r="BH229" s="302"/>
      <c r="BI229" s="302"/>
      <c r="BJ229" s="302"/>
      <c r="BK229" s="302"/>
      <c r="BL229" s="302"/>
      <c r="BM229" s="302"/>
      <c r="BN229" s="302"/>
      <c r="BO229" s="302"/>
      <c r="BP229" s="302"/>
      <c r="BQ229" s="302"/>
      <c r="BR229" s="302"/>
      <c r="BS229" s="302"/>
      <c r="BT229" s="302"/>
      <c r="BU229" s="302"/>
    </row>
    <row r="230" spans="1:73">
      <c r="A230" s="325"/>
      <c r="B230" s="394"/>
      <c r="C230" s="394"/>
      <c r="D230" s="326"/>
      <c r="E230" s="326"/>
      <c r="F230" s="395">
        <f t="shared" si="77"/>
        <v>0</v>
      </c>
      <c r="G230" s="394"/>
      <c r="H230" s="396">
        <f t="shared" si="111"/>
        <v>0</v>
      </c>
      <c r="I230" s="396">
        <v>0</v>
      </c>
      <c r="J230" s="397"/>
      <c r="K230" s="398"/>
      <c r="L230" s="399">
        <f t="shared" si="78"/>
        <v>0</v>
      </c>
      <c r="M230" s="395">
        <f t="shared" si="79"/>
        <v>0</v>
      </c>
      <c r="N230" s="400">
        <f t="shared" si="80"/>
        <v>0</v>
      </c>
      <c r="O230" s="365"/>
      <c r="P230" s="401">
        <f t="shared" si="110"/>
        <v>0</v>
      </c>
      <c r="Q230" s="302"/>
      <c r="R230" s="302"/>
      <c r="S230" s="302"/>
      <c r="T230" s="302"/>
      <c r="U230" s="302"/>
      <c r="V230" s="302"/>
      <c r="W230" s="302"/>
      <c r="X230" s="302"/>
      <c r="Y230" s="302"/>
      <c r="Z230" s="302"/>
      <c r="AA230" s="302"/>
      <c r="AB230" s="302"/>
      <c r="AC230" s="302"/>
      <c r="AD230" s="302"/>
      <c r="AE230" s="302"/>
      <c r="AF230" s="302"/>
      <c r="AG230" s="391">
        <v>0</v>
      </c>
      <c r="AH230" s="392">
        <v>0</v>
      </c>
      <c r="AI230" s="392">
        <v>0</v>
      </c>
      <c r="AJ230" s="392">
        <v>0</v>
      </c>
      <c r="AK230" s="392">
        <v>0</v>
      </c>
      <c r="AL230" s="392">
        <v>0</v>
      </c>
      <c r="AM230" s="392">
        <v>0</v>
      </c>
      <c r="AN230" s="392">
        <v>0</v>
      </c>
      <c r="AO230" s="392">
        <v>0</v>
      </c>
      <c r="AP230" s="393">
        <v>0</v>
      </c>
      <c r="AQ230" s="391">
        <f t="shared" si="82"/>
        <v>0</v>
      </c>
      <c r="AR230" s="392">
        <f t="shared" si="83"/>
        <v>0</v>
      </c>
      <c r="AS230" s="392">
        <f t="shared" si="84"/>
        <v>0</v>
      </c>
      <c r="AT230" s="392">
        <f t="shared" si="85"/>
        <v>0</v>
      </c>
      <c r="AU230" s="392">
        <f t="shared" si="86"/>
        <v>0</v>
      </c>
      <c r="AV230" s="392">
        <f t="shared" si="87"/>
        <v>0</v>
      </c>
      <c r="AW230" s="392">
        <f t="shared" si="88"/>
        <v>0</v>
      </c>
      <c r="AX230" s="392">
        <f t="shared" si="89"/>
        <v>0</v>
      </c>
      <c r="AY230" s="392">
        <f t="shared" si="90"/>
        <v>0</v>
      </c>
      <c r="AZ230" s="393">
        <f t="shared" si="91"/>
        <v>0</v>
      </c>
      <c r="BA230" s="302"/>
      <c r="BB230" s="302"/>
      <c r="BC230" s="302"/>
      <c r="BD230" s="302"/>
      <c r="BE230" s="302"/>
      <c r="BF230" s="302"/>
      <c r="BG230" s="302"/>
      <c r="BH230" s="302"/>
      <c r="BI230" s="302"/>
      <c r="BJ230" s="302"/>
      <c r="BK230" s="302"/>
      <c r="BL230" s="302"/>
      <c r="BM230" s="302"/>
      <c r="BN230" s="302"/>
      <c r="BO230" s="302"/>
      <c r="BP230" s="302"/>
      <c r="BQ230" s="302"/>
      <c r="BR230" s="302"/>
      <c r="BS230" s="302"/>
      <c r="BT230" s="302"/>
      <c r="BU230" s="302"/>
    </row>
    <row r="231" spans="1:73">
      <c r="A231" s="325"/>
      <c r="B231" s="394"/>
      <c r="C231" s="394"/>
      <c r="D231" s="326"/>
      <c r="E231" s="326"/>
      <c r="F231" s="395">
        <f t="shared" si="77"/>
        <v>0</v>
      </c>
      <c r="G231" s="394"/>
      <c r="H231" s="396">
        <f t="shared" si="111"/>
        <v>0</v>
      </c>
      <c r="I231" s="396">
        <v>0</v>
      </c>
      <c r="J231" s="397"/>
      <c r="K231" s="398"/>
      <c r="L231" s="399">
        <f t="shared" si="78"/>
        <v>0</v>
      </c>
      <c r="M231" s="395">
        <f t="shared" si="79"/>
        <v>0</v>
      </c>
      <c r="N231" s="400">
        <f t="shared" si="80"/>
        <v>0</v>
      </c>
      <c r="O231" s="365"/>
      <c r="P231" s="401">
        <f t="shared" si="110"/>
        <v>0</v>
      </c>
      <c r="Q231" s="302"/>
      <c r="R231" s="302"/>
      <c r="S231" s="302"/>
      <c r="T231" s="302"/>
      <c r="U231" s="302"/>
      <c r="V231" s="302"/>
      <c r="W231" s="302"/>
      <c r="X231" s="302"/>
      <c r="Y231" s="302"/>
      <c r="Z231" s="302"/>
      <c r="AA231" s="302"/>
      <c r="AB231" s="302"/>
      <c r="AC231" s="302"/>
      <c r="AD231" s="302"/>
      <c r="AE231" s="302"/>
      <c r="AF231" s="302"/>
      <c r="AG231" s="391">
        <v>0</v>
      </c>
      <c r="AH231" s="392">
        <v>0</v>
      </c>
      <c r="AI231" s="392">
        <v>0</v>
      </c>
      <c r="AJ231" s="392">
        <v>0</v>
      </c>
      <c r="AK231" s="392">
        <v>0</v>
      </c>
      <c r="AL231" s="392">
        <v>0</v>
      </c>
      <c r="AM231" s="392">
        <v>0</v>
      </c>
      <c r="AN231" s="392">
        <v>0</v>
      </c>
      <c r="AO231" s="392">
        <v>0</v>
      </c>
      <c r="AP231" s="393">
        <v>0</v>
      </c>
      <c r="AQ231" s="391">
        <f t="shared" si="82"/>
        <v>0</v>
      </c>
      <c r="AR231" s="392">
        <f t="shared" si="83"/>
        <v>0</v>
      </c>
      <c r="AS231" s="392">
        <f t="shared" si="84"/>
        <v>0</v>
      </c>
      <c r="AT231" s="392">
        <f t="shared" si="85"/>
        <v>0</v>
      </c>
      <c r="AU231" s="392">
        <f t="shared" si="86"/>
        <v>0</v>
      </c>
      <c r="AV231" s="392">
        <f t="shared" si="87"/>
        <v>0</v>
      </c>
      <c r="AW231" s="392">
        <f t="shared" si="88"/>
        <v>0</v>
      </c>
      <c r="AX231" s="392">
        <f t="shared" si="89"/>
        <v>0</v>
      </c>
      <c r="AY231" s="392">
        <f t="shared" si="90"/>
        <v>0</v>
      </c>
      <c r="AZ231" s="393">
        <f t="shared" si="91"/>
        <v>0</v>
      </c>
      <c r="BA231" s="302"/>
      <c r="BB231" s="302"/>
      <c r="BC231" s="302"/>
      <c r="BD231" s="302"/>
      <c r="BE231" s="302"/>
      <c r="BF231" s="302"/>
      <c r="BG231" s="302"/>
      <c r="BH231" s="302"/>
      <c r="BI231" s="302"/>
      <c r="BJ231" s="302"/>
      <c r="BK231" s="302"/>
      <c r="BL231" s="302"/>
      <c r="BM231" s="302"/>
      <c r="BN231" s="302"/>
      <c r="BO231" s="302"/>
      <c r="BP231" s="302"/>
      <c r="BQ231" s="302"/>
      <c r="BR231" s="302"/>
      <c r="BS231" s="302"/>
      <c r="BT231" s="302"/>
      <c r="BU231" s="302"/>
    </row>
    <row r="232" spans="1:73">
      <c r="A232" s="325"/>
      <c r="B232" s="394"/>
      <c r="C232" s="394"/>
      <c r="D232" s="326"/>
      <c r="E232" s="326"/>
      <c r="F232" s="395">
        <f t="shared" si="77"/>
        <v>0</v>
      </c>
      <c r="G232" s="394"/>
      <c r="H232" s="396">
        <f t="shared" si="111"/>
        <v>0</v>
      </c>
      <c r="I232" s="396">
        <v>0</v>
      </c>
      <c r="J232" s="397"/>
      <c r="K232" s="398"/>
      <c r="L232" s="399">
        <f t="shared" si="78"/>
        <v>0</v>
      </c>
      <c r="M232" s="395">
        <f t="shared" si="79"/>
        <v>0</v>
      </c>
      <c r="N232" s="400">
        <f t="shared" si="80"/>
        <v>0</v>
      </c>
      <c r="O232" s="365"/>
      <c r="P232" s="401">
        <f t="shared" si="110"/>
        <v>0</v>
      </c>
      <c r="Q232" s="302"/>
      <c r="R232" s="302"/>
      <c r="S232" s="302"/>
      <c r="T232" s="302"/>
      <c r="U232" s="302"/>
      <c r="V232" s="302"/>
      <c r="W232" s="302"/>
      <c r="X232" s="302"/>
      <c r="Y232" s="302"/>
      <c r="Z232" s="302"/>
      <c r="AA232" s="302"/>
      <c r="AB232" s="302"/>
      <c r="AC232" s="302"/>
      <c r="AD232" s="302"/>
      <c r="AE232" s="302"/>
      <c r="AF232" s="302"/>
      <c r="AG232" s="391">
        <v>0</v>
      </c>
      <c r="AH232" s="392">
        <v>0</v>
      </c>
      <c r="AI232" s="392">
        <v>0</v>
      </c>
      <c r="AJ232" s="392">
        <v>0</v>
      </c>
      <c r="AK232" s="392">
        <v>0</v>
      </c>
      <c r="AL232" s="392">
        <v>0</v>
      </c>
      <c r="AM232" s="392">
        <v>0</v>
      </c>
      <c r="AN232" s="392">
        <v>0</v>
      </c>
      <c r="AO232" s="392">
        <v>0</v>
      </c>
      <c r="AP232" s="393">
        <v>0</v>
      </c>
      <c r="AQ232" s="391">
        <f t="shared" si="82"/>
        <v>0</v>
      </c>
      <c r="AR232" s="392">
        <f t="shared" si="83"/>
        <v>0</v>
      </c>
      <c r="AS232" s="392">
        <f t="shared" si="84"/>
        <v>0</v>
      </c>
      <c r="AT232" s="392">
        <f t="shared" si="85"/>
        <v>0</v>
      </c>
      <c r="AU232" s="392">
        <f t="shared" si="86"/>
        <v>0</v>
      </c>
      <c r="AV232" s="392">
        <f t="shared" si="87"/>
        <v>0</v>
      </c>
      <c r="AW232" s="392">
        <f t="shared" si="88"/>
        <v>0</v>
      </c>
      <c r="AX232" s="392">
        <f t="shared" si="89"/>
        <v>0</v>
      </c>
      <c r="AY232" s="392">
        <f t="shared" si="90"/>
        <v>0</v>
      </c>
      <c r="AZ232" s="393">
        <f t="shared" si="91"/>
        <v>0</v>
      </c>
      <c r="BA232" s="302"/>
      <c r="BB232" s="302"/>
      <c r="BC232" s="302"/>
      <c r="BD232" s="302"/>
      <c r="BE232" s="302"/>
      <c r="BF232" s="302"/>
      <c r="BG232" s="302"/>
      <c r="BH232" s="302"/>
      <c r="BI232" s="302"/>
      <c r="BJ232" s="302"/>
      <c r="BK232" s="302"/>
      <c r="BL232" s="302"/>
      <c r="BM232" s="302"/>
      <c r="BN232" s="302"/>
      <c r="BO232" s="302"/>
      <c r="BP232" s="302"/>
      <c r="BQ232" s="302"/>
      <c r="BR232" s="302"/>
      <c r="BS232" s="302"/>
      <c r="BT232" s="302"/>
      <c r="BU232" s="302"/>
    </row>
    <row r="233" spans="1:73">
      <c r="A233" s="325"/>
      <c r="B233" s="394"/>
      <c r="C233" s="394"/>
      <c r="D233" s="326"/>
      <c r="E233" s="326"/>
      <c r="F233" s="395">
        <f t="shared" si="77"/>
        <v>0</v>
      </c>
      <c r="G233" s="394"/>
      <c r="H233" s="396">
        <f t="shared" si="111"/>
        <v>0</v>
      </c>
      <c r="I233" s="396">
        <v>0</v>
      </c>
      <c r="J233" s="397"/>
      <c r="K233" s="398"/>
      <c r="L233" s="399">
        <f t="shared" si="78"/>
        <v>0</v>
      </c>
      <c r="M233" s="395">
        <f t="shared" si="79"/>
        <v>0</v>
      </c>
      <c r="N233" s="400">
        <f t="shared" si="80"/>
        <v>0</v>
      </c>
      <c r="O233" s="365"/>
      <c r="P233" s="401">
        <f t="shared" si="110"/>
        <v>0</v>
      </c>
      <c r="Q233" s="302"/>
      <c r="R233" s="302"/>
      <c r="S233" s="302"/>
      <c r="T233" s="302"/>
      <c r="U233" s="302"/>
      <c r="V233" s="302"/>
      <c r="W233" s="302"/>
      <c r="X233" s="302"/>
      <c r="Y233" s="302"/>
      <c r="Z233" s="302"/>
      <c r="AA233" s="302"/>
      <c r="AB233" s="302"/>
      <c r="AC233" s="302"/>
      <c r="AD233" s="302"/>
      <c r="AE233" s="302"/>
      <c r="AF233" s="302"/>
      <c r="AG233" s="391">
        <v>0</v>
      </c>
      <c r="AH233" s="392">
        <v>0</v>
      </c>
      <c r="AI233" s="392">
        <v>0</v>
      </c>
      <c r="AJ233" s="392">
        <v>0</v>
      </c>
      <c r="AK233" s="392">
        <v>0</v>
      </c>
      <c r="AL233" s="392">
        <v>0</v>
      </c>
      <c r="AM233" s="392">
        <v>0</v>
      </c>
      <c r="AN233" s="392">
        <v>0</v>
      </c>
      <c r="AO233" s="392">
        <v>0</v>
      </c>
      <c r="AP233" s="393">
        <v>0</v>
      </c>
      <c r="AQ233" s="391">
        <f t="shared" si="82"/>
        <v>0</v>
      </c>
      <c r="AR233" s="392">
        <f t="shared" si="83"/>
        <v>0</v>
      </c>
      <c r="AS233" s="392">
        <f t="shared" si="84"/>
        <v>0</v>
      </c>
      <c r="AT233" s="392">
        <f t="shared" si="85"/>
        <v>0</v>
      </c>
      <c r="AU233" s="392">
        <f t="shared" si="86"/>
        <v>0</v>
      </c>
      <c r="AV233" s="392">
        <f t="shared" si="87"/>
        <v>0</v>
      </c>
      <c r="AW233" s="392">
        <f t="shared" si="88"/>
        <v>0</v>
      </c>
      <c r="AX233" s="392">
        <f t="shared" si="89"/>
        <v>0</v>
      </c>
      <c r="AY233" s="392">
        <f t="shared" si="90"/>
        <v>0</v>
      </c>
      <c r="AZ233" s="393">
        <f t="shared" si="91"/>
        <v>0</v>
      </c>
      <c r="BA233" s="302"/>
      <c r="BB233" s="302"/>
      <c r="BC233" s="302"/>
      <c r="BD233" s="302"/>
      <c r="BE233" s="302"/>
      <c r="BF233" s="302"/>
      <c r="BG233" s="302"/>
      <c r="BH233" s="302"/>
      <c r="BI233" s="302"/>
      <c r="BJ233" s="302"/>
      <c r="BK233" s="302"/>
      <c r="BL233" s="302"/>
      <c r="BM233" s="302"/>
      <c r="BN233" s="302"/>
      <c r="BO233" s="302"/>
      <c r="BP233" s="302"/>
      <c r="BQ233" s="302"/>
      <c r="BR233" s="302"/>
      <c r="BS233" s="302"/>
      <c r="BT233" s="302"/>
      <c r="BU233" s="302"/>
    </row>
    <row r="234" spans="1:73">
      <c r="A234" s="325"/>
      <c r="B234" s="394"/>
      <c r="C234" s="394"/>
      <c r="D234" s="326"/>
      <c r="E234" s="326"/>
      <c r="F234" s="395">
        <f t="shared" si="77"/>
        <v>0</v>
      </c>
      <c r="G234" s="394"/>
      <c r="H234" s="396">
        <f t="shared" si="111"/>
        <v>0</v>
      </c>
      <c r="I234" s="396">
        <v>0</v>
      </c>
      <c r="J234" s="397"/>
      <c r="K234" s="398"/>
      <c r="L234" s="399">
        <f t="shared" si="78"/>
        <v>0</v>
      </c>
      <c r="M234" s="395">
        <f t="shared" si="79"/>
        <v>0</v>
      </c>
      <c r="N234" s="400">
        <f t="shared" si="80"/>
        <v>0</v>
      </c>
      <c r="O234" s="365"/>
      <c r="P234" s="401">
        <f t="shared" si="110"/>
        <v>0</v>
      </c>
      <c r="Q234" s="302"/>
      <c r="R234" s="302"/>
      <c r="S234" s="302"/>
      <c r="T234" s="302"/>
      <c r="U234" s="302"/>
      <c r="V234" s="302"/>
      <c r="W234" s="302"/>
      <c r="X234" s="302"/>
      <c r="Y234" s="302"/>
      <c r="Z234" s="302"/>
      <c r="AA234" s="302"/>
      <c r="AB234" s="302"/>
      <c r="AC234" s="302"/>
      <c r="AD234" s="302"/>
      <c r="AE234" s="302"/>
      <c r="AF234" s="302"/>
      <c r="AG234" s="391">
        <v>0</v>
      </c>
      <c r="AH234" s="392">
        <v>0</v>
      </c>
      <c r="AI234" s="392">
        <v>0</v>
      </c>
      <c r="AJ234" s="392">
        <v>0</v>
      </c>
      <c r="AK234" s="392">
        <v>0</v>
      </c>
      <c r="AL234" s="392">
        <v>0</v>
      </c>
      <c r="AM234" s="392">
        <v>0</v>
      </c>
      <c r="AN234" s="392">
        <v>0</v>
      </c>
      <c r="AO234" s="392">
        <v>0</v>
      </c>
      <c r="AP234" s="393">
        <v>0</v>
      </c>
      <c r="AQ234" s="391">
        <f t="shared" si="82"/>
        <v>0</v>
      </c>
      <c r="AR234" s="392">
        <f t="shared" si="83"/>
        <v>0</v>
      </c>
      <c r="AS234" s="392">
        <f t="shared" si="84"/>
        <v>0</v>
      </c>
      <c r="AT234" s="392">
        <f t="shared" si="85"/>
        <v>0</v>
      </c>
      <c r="AU234" s="392">
        <f t="shared" si="86"/>
        <v>0</v>
      </c>
      <c r="AV234" s="392">
        <f t="shared" si="87"/>
        <v>0</v>
      </c>
      <c r="AW234" s="392">
        <f t="shared" si="88"/>
        <v>0</v>
      </c>
      <c r="AX234" s="392">
        <f t="shared" si="89"/>
        <v>0</v>
      </c>
      <c r="AY234" s="392">
        <f t="shared" si="90"/>
        <v>0</v>
      </c>
      <c r="AZ234" s="393">
        <f t="shared" si="91"/>
        <v>0</v>
      </c>
      <c r="BA234" s="302"/>
      <c r="BB234" s="302"/>
      <c r="BC234" s="302"/>
      <c r="BD234" s="302"/>
      <c r="BE234" s="302"/>
      <c r="BF234" s="302"/>
      <c r="BG234" s="302"/>
      <c r="BH234" s="302"/>
      <c r="BI234" s="302"/>
      <c r="BJ234" s="302"/>
      <c r="BK234" s="302"/>
      <c r="BL234" s="302"/>
      <c r="BM234" s="302"/>
      <c r="BN234" s="302"/>
      <c r="BO234" s="302"/>
      <c r="BP234" s="302"/>
      <c r="BQ234" s="302"/>
      <c r="BR234" s="302"/>
      <c r="BS234" s="302"/>
      <c r="BT234" s="302"/>
      <c r="BU234" s="302"/>
    </row>
    <row r="235" spans="1:73">
      <c r="A235" s="325"/>
      <c r="B235" s="394"/>
      <c r="C235" s="394"/>
      <c r="D235" s="326"/>
      <c r="E235" s="326"/>
      <c r="F235" s="395">
        <f t="shared" si="77"/>
        <v>0</v>
      </c>
      <c r="G235" s="394"/>
      <c r="H235" s="396">
        <f t="shared" si="111"/>
        <v>0</v>
      </c>
      <c r="I235" s="396">
        <v>0</v>
      </c>
      <c r="J235" s="397"/>
      <c r="K235" s="398"/>
      <c r="L235" s="399">
        <f t="shared" si="78"/>
        <v>0</v>
      </c>
      <c r="M235" s="395">
        <f t="shared" si="79"/>
        <v>0</v>
      </c>
      <c r="N235" s="400">
        <f t="shared" si="80"/>
        <v>0</v>
      </c>
      <c r="O235" s="365"/>
      <c r="P235" s="401">
        <f t="shared" si="110"/>
        <v>0</v>
      </c>
      <c r="Q235" s="302"/>
      <c r="R235" s="302"/>
      <c r="S235" s="302"/>
      <c r="T235" s="302"/>
      <c r="U235" s="302"/>
      <c r="V235" s="302"/>
      <c r="W235" s="302"/>
      <c r="X235" s="302"/>
      <c r="Y235" s="302"/>
      <c r="Z235" s="302"/>
      <c r="AA235" s="302"/>
      <c r="AB235" s="302"/>
      <c r="AC235" s="302"/>
      <c r="AD235" s="302"/>
      <c r="AE235" s="302"/>
      <c r="AF235" s="302"/>
      <c r="AG235" s="391">
        <v>0</v>
      </c>
      <c r="AH235" s="392">
        <v>0</v>
      </c>
      <c r="AI235" s="392">
        <v>0</v>
      </c>
      <c r="AJ235" s="392">
        <v>0</v>
      </c>
      <c r="AK235" s="392">
        <v>0</v>
      </c>
      <c r="AL235" s="392">
        <v>0</v>
      </c>
      <c r="AM235" s="392">
        <v>0</v>
      </c>
      <c r="AN235" s="392">
        <v>0</v>
      </c>
      <c r="AO235" s="392">
        <v>0</v>
      </c>
      <c r="AP235" s="393">
        <v>0</v>
      </c>
      <c r="AQ235" s="391">
        <f t="shared" si="82"/>
        <v>0</v>
      </c>
      <c r="AR235" s="392">
        <f t="shared" si="83"/>
        <v>0</v>
      </c>
      <c r="AS235" s="392">
        <f t="shared" si="84"/>
        <v>0</v>
      </c>
      <c r="AT235" s="392">
        <f t="shared" si="85"/>
        <v>0</v>
      </c>
      <c r="AU235" s="392">
        <f t="shared" si="86"/>
        <v>0</v>
      </c>
      <c r="AV235" s="392">
        <f t="shared" si="87"/>
        <v>0</v>
      </c>
      <c r="AW235" s="392">
        <f t="shared" si="88"/>
        <v>0</v>
      </c>
      <c r="AX235" s="392">
        <f t="shared" si="89"/>
        <v>0</v>
      </c>
      <c r="AY235" s="392">
        <f t="shared" si="90"/>
        <v>0</v>
      </c>
      <c r="AZ235" s="393">
        <f t="shared" si="91"/>
        <v>0</v>
      </c>
      <c r="BA235" s="302"/>
      <c r="BB235" s="302"/>
      <c r="BC235" s="302"/>
      <c r="BD235" s="302"/>
      <c r="BE235" s="302"/>
      <c r="BF235" s="302"/>
      <c r="BG235" s="302"/>
      <c r="BH235" s="302"/>
      <c r="BI235" s="302"/>
      <c r="BJ235" s="302"/>
      <c r="BK235" s="302"/>
      <c r="BL235" s="302"/>
      <c r="BM235" s="302"/>
      <c r="BN235" s="302"/>
      <c r="BO235" s="302"/>
      <c r="BP235" s="302"/>
      <c r="BQ235" s="302"/>
      <c r="BR235" s="302"/>
      <c r="BS235" s="302"/>
      <c r="BT235" s="302"/>
      <c r="BU235" s="302"/>
    </row>
    <row r="236" spans="1:73">
      <c r="A236" s="325"/>
      <c r="B236" s="394"/>
      <c r="C236" s="394"/>
      <c r="D236" s="326"/>
      <c r="E236" s="326"/>
      <c r="F236" s="395">
        <f t="shared" si="77"/>
        <v>0</v>
      </c>
      <c r="G236" s="394"/>
      <c r="H236" s="396">
        <f t="shared" si="111"/>
        <v>0</v>
      </c>
      <c r="I236" s="396">
        <v>0</v>
      </c>
      <c r="J236" s="397"/>
      <c r="K236" s="398"/>
      <c r="L236" s="399">
        <f t="shared" si="78"/>
        <v>0</v>
      </c>
      <c r="M236" s="395">
        <f t="shared" si="79"/>
        <v>0</v>
      </c>
      <c r="N236" s="400">
        <f t="shared" si="80"/>
        <v>0</v>
      </c>
      <c r="O236" s="365"/>
      <c r="P236" s="401">
        <f t="shared" si="110"/>
        <v>0</v>
      </c>
      <c r="Q236" s="302"/>
      <c r="R236" s="302"/>
      <c r="S236" s="302"/>
      <c r="T236" s="302"/>
      <c r="U236" s="302"/>
      <c r="V236" s="302"/>
      <c r="W236" s="302"/>
      <c r="X236" s="302"/>
      <c r="Y236" s="302"/>
      <c r="Z236" s="302"/>
      <c r="AA236" s="302"/>
      <c r="AB236" s="302"/>
      <c r="AC236" s="302"/>
      <c r="AD236" s="302"/>
      <c r="AE236" s="302"/>
      <c r="AF236" s="302"/>
      <c r="AG236" s="391">
        <v>0</v>
      </c>
      <c r="AH236" s="392">
        <v>0</v>
      </c>
      <c r="AI236" s="392">
        <v>0</v>
      </c>
      <c r="AJ236" s="392">
        <v>0</v>
      </c>
      <c r="AK236" s="392">
        <v>0</v>
      </c>
      <c r="AL236" s="392">
        <v>0</v>
      </c>
      <c r="AM236" s="392">
        <v>0</v>
      </c>
      <c r="AN236" s="392">
        <v>0</v>
      </c>
      <c r="AO236" s="392">
        <v>0</v>
      </c>
      <c r="AP236" s="393">
        <v>0</v>
      </c>
      <c r="AQ236" s="391">
        <f t="shared" si="82"/>
        <v>0</v>
      </c>
      <c r="AR236" s="392">
        <f t="shared" si="83"/>
        <v>0</v>
      </c>
      <c r="AS236" s="392">
        <f t="shared" si="84"/>
        <v>0</v>
      </c>
      <c r="AT236" s="392">
        <f t="shared" si="85"/>
        <v>0</v>
      </c>
      <c r="AU236" s="392">
        <f t="shared" si="86"/>
        <v>0</v>
      </c>
      <c r="AV236" s="392">
        <f t="shared" si="87"/>
        <v>0</v>
      </c>
      <c r="AW236" s="392">
        <f t="shared" si="88"/>
        <v>0</v>
      </c>
      <c r="AX236" s="392">
        <f t="shared" si="89"/>
        <v>0</v>
      </c>
      <c r="AY236" s="392">
        <f t="shared" si="90"/>
        <v>0</v>
      </c>
      <c r="AZ236" s="393">
        <f t="shared" si="91"/>
        <v>0</v>
      </c>
      <c r="BA236" s="302"/>
      <c r="BB236" s="302"/>
      <c r="BC236" s="302"/>
      <c r="BD236" s="302"/>
      <c r="BE236" s="302"/>
      <c r="BF236" s="302"/>
      <c r="BG236" s="302"/>
      <c r="BH236" s="302"/>
      <c r="BI236" s="302"/>
      <c r="BJ236" s="302"/>
      <c r="BK236" s="302"/>
      <c r="BL236" s="302"/>
      <c r="BM236" s="302"/>
      <c r="BN236" s="302"/>
      <c r="BO236" s="302"/>
      <c r="BP236" s="302"/>
      <c r="BQ236" s="302"/>
      <c r="BR236" s="302"/>
      <c r="BS236" s="302"/>
      <c r="BT236" s="302"/>
      <c r="BU236" s="302"/>
    </row>
    <row r="237" spans="1:73">
      <c r="A237" s="325"/>
      <c r="B237" s="394"/>
      <c r="C237" s="394"/>
      <c r="D237" s="326"/>
      <c r="E237" s="326"/>
      <c r="F237" s="395">
        <f t="shared" si="77"/>
        <v>0</v>
      </c>
      <c r="G237" s="394"/>
      <c r="H237" s="396">
        <f t="shared" si="111"/>
        <v>0</v>
      </c>
      <c r="I237" s="396">
        <v>0</v>
      </c>
      <c r="J237" s="397"/>
      <c r="K237" s="398"/>
      <c r="L237" s="399">
        <f t="shared" si="78"/>
        <v>0</v>
      </c>
      <c r="M237" s="395">
        <f t="shared" si="79"/>
        <v>0</v>
      </c>
      <c r="N237" s="400">
        <f t="shared" si="80"/>
        <v>0</v>
      </c>
      <c r="O237" s="365"/>
      <c r="P237" s="401">
        <f t="shared" si="110"/>
        <v>0</v>
      </c>
      <c r="Q237" s="302"/>
      <c r="R237" s="302"/>
      <c r="S237" s="302"/>
      <c r="T237" s="302"/>
      <c r="U237" s="302"/>
      <c r="V237" s="302"/>
      <c r="W237" s="302"/>
      <c r="X237" s="302"/>
      <c r="Y237" s="302"/>
      <c r="Z237" s="302"/>
      <c r="AA237" s="302"/>
      <c r="AB237" s="302"/>
      <c r="AC237" s="302"/>
      <c r="AD237" s="302"/>
      <c r="AE237" s="302"/>
      <c r="AF237" s="302"/>
      <c r="AG237" s="391">
        <v>0</v>
      </c>
      <c r="AH237" s="392">
        <v>0</v>
      </c>
      <c r="AI237" s="392">
        <v>0</v>
      </c>
      <c r="AJ237" s="392">
        <v>0</v>
      </c>
      <c r="AK237" s="392">
        <v>0</v>
      </c>
      <c r="AL237" s="392">
        <v>0</v>
      </c>
      <c r="AM237" s="392">
        <v>0</v>
      </c>
      <c r="AN237" s="392">
        <v>0</v>
      </c>
      <c r="AO237" s="392">
        <v>0</v>
      </c>
      <c r="AP237" s="393">
        <v>0</v>
      </c>
      <c r="AQ237" s="391">
        <f t="shared" si="82"/>
        <v>0</v>
      </c>
      <c r="AR237" s="392">
        <f t="shared" si="83"/>
        <v>0</v>
      </c>
      <c r="AS237" s="392">
        <f t="shared" si="84"/>
        <v>0</v>
      </c>
      <c r="AT237" s="392">
        <f t="shared" si="85"/>
        <v>0</v>
      </c>
      <c r="AU237" s="392">
        <f t="shared" si="86"/>
        <v>0</v>
      </c>
      <c r="AV237" s="392">
        <f t="shared" si="87"/>
        <v>0</v>
      </c>
      <c r="AW237" s="392">
        <f t="shared" si="88"/>
        <v>0</v>
      </c>
      <c r="AX237" s="392">
        <f t="shared" si="89"/>
        <v>0</v>
      </c>
      <c r="AY237" s="392">
        <f t="shared" si="90"/>
        <v>0</v>
      </c>
      <c r="AZ237" s="393">
        <f t="shared" si="91"/>
        <v>0</v>
      </c>
      <c r="BA237" s="302"/>
      <c r="BB237" s="302"/>
      <c r="BC237" s="302"/>
      <c r="BD237" s="302"/>
      <c r="BE237" s="302"/>
      <c r="BF237" s="302"/>
      <c r="BG237" s="302"/>
      <c r="BH237" s="302"/>
      <c r="BI237" s="302"/>
      <c r="BJ237" s="302"/>
      <c r="BK237" s="302"/>
      <c r="BL237" s="302"/>
      <c r="BM237" s="302"/>
      <c r="BN237" s="302"/>
      <c r="BO237" s="302"/>
      <c r="BP237" s="302"/>
      <c r="BQ237" s="302"/>
      <c r="BR237" s="302"/>
      <c r="BS237" s="302"/>
      <c r="BT237" s="302"/>
      <c r="BU237" s="302"/>
    </row>
    <row r="238" spans="1:73" ht="14" thickBot="1">
      <c r="A238" s="348"/>
      <c r="B238" s="417"/>
      <c r="C238" s="417"/>
      <c r="D238" s="349"/>
      <c r="E238" s="349"/>
      <c r="F238" s="418">
        <f t="shared" si="77"/>
        <v>0</v>
      </c>
      <c r="G238" s="417"/>
      <c r="H238" s="419">
        <f t="shared" si="111"/>
        <v>0</v>
      </c>
      <c r="I238" s="419">
        <v>0</v>
      </c>
      <c r="J238" s="372"/>
      <c r="K238" s="420"/>
      <c r="L238" s="421">
        <f t="shared" si="78"/>
        <v>0</v>
      </c>
      <c r="M238" s="418">
        <f t="shared" si="79"/>
        <v>0</v>
      </c>
      <c r="N238" s="422">
        <f t="shared" si="80"/>
        <v>0</v>
      </c>
      <c r="O238" s="371"/>
      <c r="P238" s="423">
        <f t="shared" si="110"/>
        <v>0</v>
      </c>
      <c r="Q238" s="302"/>
      <c r="R238" s="302"/>
      <c r="S238" s="302"/>
      <c r="T238" s="302"/>
      <c r="U238" s="302"/>
      <c r="V238" s="302"/>
      <c r="W238" s="302"/>
      <c r="X238" s="302"/>
      <c r="Y238" s="302"/>
      <c r="Z238" s="302"/>
      <c r="AA238" s="302"/>
      <c r="AB238" s="302"/>
      <c r="AC238" s="302"/>
      <c r="AD238" s="302"/>
      <c r="AE238" s="302"/>
      <c r="AF238" s="302"/>
      <c r="AG238" s="424">
        <v>0</v>
      </c>
      <c r="AH238" s="425">
        <v>0</v>
      </c>
      <c r="AI238" s="425">
        <v>0</v>
      </c>
      <c r="AJ238" s="425">
        <v>0</v>
      </c>
      <c r="AK238" s="425">
        <v>0</v>
      </c>
      <c r="AL238" s="425">
        <v>0</v>
      </c>
      <c r="AM238" s="425">
        <v>0</v>
      </c>
      <c r="AN238" s="425">
        <v>0</v>
      </c>
      <c r="AO238" s="425">
        <v>0</v>
      </c>
      <c r="AP238" s="426">
        <v>0</v>
      </c>
      <c r="AQ238" s="424">
        <f t="shared" si="82"/>
        <v>0</v>
      </c>
      <c r="AR238" s="425">
        <f t="shared" si="83"/>
        <v>0</v>
      </c>
      <c r="AS238" s="425">
        <f t="shared" si="84"/>
        <v>0</v>
      </c>
      <c r="AT238" s="425">
        <f t="shared" si="85"/>
        <v>0</v>
      </c>
      <c r="AU238" s="425">
        <f t="shared" si="86"/>
        <v>0</v>
      </c>
      <c r="AV238" s="425">
        <f t="shared" si="87"/>
        <v>0</v>
      </c>
      <c r="AW238" s="425">
        <f t="shared" si="88"/>
        <v>0</v>
      </c>
      <c r="AX238" s="425">
        <f t="shared" si="89"/>
        <v>0</v>
      </c>
      <c r="AY238" s="425">
        <f t="shared" si="90"/>
        <v>0</v>
      </c>
      <c r="AZ238" s="426">
        <f t="shared" si="91"/>
        <v>0</v>
      </c>
      <c r="BA238" s="302"/>
      <c r="BB238" s="302"/>
      <c r="BC238" s="302"/>
      <c r="BD238" s="302"/>
      <c r="BE238" s="302"/>
      <c r="BF238" s="302"/>
      <c r="BG238" s="302"/>
      <c r="BH238" s="302"/>
      <c r="BI238" s="302"/>
      <c r="BJ238" s="302"/>
      <c r="BK238" s="302"/>
      <c r="BL238" s="302"/>
      <c r="BM238" s="302"/>
      <c r="BN238" s="302"/>
      <c r="BO238" s="302"/>
      <c r="BP238" s="302"/>
      <c r="BQ238" s="302"/>
      <c r="BR238" s="302"/>
      <c r="BS238" s="302"/>
      <c r="BT238" s="302"/>
      <c r="BU238" s="302"/>
    </row>
    <row r="239" spans="1:73" s="342" customFormat="1" ht="20" customHeight="1">
      <c r="A239" s="427">
        <f>SUM(A119:A238)</f>
        <v>0</v>
      </c>
      <c r="B239" s="428">
        <f>SUM(B119:B238)</f>
        <v>9</v>
      </c>
      <c r="C239" s="428"/>
      <c r="D239" s="428"/>
      <c r="E239" s="428"/>
      <c r="F239" s="428"/>
      <c r="G239" s="428"/>
      <c r="H239" s="429">
        <f>SUM(H119:H238)</f>
        <v>331849</v>
      </c>
      <c r="I239" s="429">
        <f>SUM(I119:I238)</f>
        <v>179973</v>
      </c>
      <c r="J239" s="428"/>
      <c r="K239" s="428"/>
      <c r="L239" s="430">
        <f>ROUND(SUM(L119:L238),0)</f>
        <v>357</v>
      </c>
      <c r="M239" s="430">
        <f>ROUND(SUM(M119:M238),0)</f>
        <v>357</v>
      </c>
      <c r="N239" s="430">
        <f>ROUND(SUM(N119:N238),0)</f>
        <v>177</v>
      </c>
      <c r="O239" s="428"/>
      <c r="P239" s="431">
        <f>ROUND(SUM(P119:P238),0)</f>
        <v>0</v>
      </c>
      <c r="Q239" s="324"/>
      <c r="R239" s="324"/>
      <c r="S239" s="324"/>
      <c r="T239" s="324"/>
      <c r="U239" s="324"/>
      <c r="V239" s="324"/>
      <c r="W239" s="324"/>
      <c r="X239" s="324"/>
      <c r="Y239" s="324"/>
      <c r="Z239" s="324"/>
      <c r="AA239" s="324"/>
      <c r="AB239" s="324"/>
      <c r="AC239" s="324"/>
      <c r="AD239" s="324"/>
      <c r="AE239" s="324"/>
      <c r="AF239" s="324"/>
      <c r="AG239" s="324"/>
      <c r="AH239" s="324"/>
      <c r="AI239" s="324"/>
      <c r="AJ239" s="324"/>
      <c r="AK239" s="324"/>
      <c r="AL239" s="324"/>
      <c r="AM239" s="324"/>
      <c r="AN239" s="324"/>
      <c r="AO239" s="324"/>
      <c r="AP239" s="324"/>
      <c r="AQ239" s="324"/>
      <c r="AR239" s="324"/>
      <c r="AS239" s="324"/>
      <c r="AT239" s="324"/>
      <c r="AU239" s="324"/>
      <c r="AV239" s="324"/>
      <c r="AW239" s="324"/>
      <c r="AX239" s="324"/>
      <c r="AY239" s="324"/>
      <c r="AZ239" s="324"/>
      <c r="BA239" s="324"/>
      <c r="BB239" s="324"/>
      <c r="BC239" s="324"/>
      <c r="BD239" s="324"/>
      <c r="BE239" s="324"/>
      <c r="BF239" s="324"/>
      <c r="BG239" s="324"/>
      <c r="BH239" s="324"/>
      <c r="BI239" s="324"/>
      <c r="BJ239" s="324"/>
      <c r="BK239" s="324"/>
      <c r="BL239" s="324"/>
      <c r="BM239" s="324"/>
      <c r="BN239" s="324"/>
      <c r="BO239" s="324"/>
      <c r="BP239" s="324"/>
      <c r="BQ239" s="324"/>
      <c r="BR239" s="324"/>
      <c r="BS239" s="324"/>
      <c r="BT239" s="324"/>
      <c r="BU239" s="324"/>
    </row>
    <row r="240" spans="1:73" s="342" customFormat="1" ht="20" customHeight="1">
      <c r="A240" s="427"/>
      <c r="B240" s="428"/>
      <c r="C240" s="428"/>
      <c r="D240" s="428"/>
      <c r="E240" s="428"/>
      <c r="F240" s="428"/>
      <c r="G240" s="428"/>
      <c r="H240" s="432">
        <f>I239</f>
        <v>179973</v>
      </c>
      <c r="I240" s="428"/>
      <c r="J240" s="428"/>
      <c r="K240" s="428"/>
      <c r="L240" s="428"/>
      <c r="M240" s="428"/>
      <c r="N240" s="428"/>
      <c r="O240" s="428" t="s">
        <v>108</v>
      </c>
      <c r="P240" s="431" t="e">
        <f>ROUND(P239/A239,-1)</f>
        <v>#DIV/0!</v>
      </c>
      <c r="Q240" s="324"/>
      <c r="R240" s="324"/>
      <c r="S240" s="324"/>
      <c r="T240" s="324"/>
      <c r="U240" s="324"/>
      <c r="V240" s="324"/>
      <c r="W240" s="324"/>
      <c r="X240" s="324"/>
      <c r="Y240" s="324"/>
      <c r="Z240" s="324"/>
      <c r="AA240" s="324"/>
      <c r="AB240" s="324"/>
      <c r="AC240" s="324"/>
      <c r="AD240" s="324"/>
      <c r="AE240" s="324"/>
      <c r="AF240" s="324"/>
      <c r="AG240" s="324"/>
      <c r="AH240" s="324"/>
      <c r="AI240" s="324"/>
      <c r="AJ240" s="324"/>
      <c r="AK240" s="324"/>
      <c r="AL240" s="324"/>
      <c r="AM240" s="324"/>
      <c r="AN240" s="324"/>
      <c r="AO240" s="324"/>
      <c r="AP240" s="324"/>
      <c r="AQ240" s="324"/>
      <c r="AR240" s="324"/>
      <c r="AS240" s="324"/>
      <c r="AT240" s="324"/>
      <c r="AU240" s="324"/>
      <c r="AV240" s="324"/>
      <c r="AW240" s="324"/>
      <c r="AX240" s="324"/>
      <c r="AY240" s="324"/>
      <c r="AZ240" s="324"/>
      <c r="BA240" s="324"/>
      <c r="BB240" s="324"/>
      <c r="BC240" s="324"/>
      <c r="BD240" s="324"/>
      <c r="BE240" s="324"/>
      <c r="BF240" s="324"/>
      <c r="BG240" s="324"/>
      <c r="BH240" s="324"/>
      <c r="BI240" s="324"/>
      <c r="BJ240" s="324"/>
      <c r="BK240" s="324"/>
      <c r="BL240" s="324"/>
      <c r="BM240" s="324"/>
      <c r="BN240" s="324"/>
      <c r="BO240" s="324"/>
      <c r="BP240" s="324"/>
      <c r="BQ240" s="324"/>
      <c r="BR240" s="324"/>
      <c r="BS240" s="324"/>
      <c r="BT240" s="324"/>
      <c r="BU240" s="324"/>
    </row>
    <row r="241" spans="1:73" s="342" customFormat="1" ht="20" customHeight="1">
      <c r="A241" s="427"/>
      <c r="B241" s="428"/>
      <c r="C241" s="428"/>
      <c r="D241" s="428"/>
      <c r="E241" s="428"/>
      <c r="F241" s="428"/>
      <c r="G241" s="428" t="s">
        <v>109</v>
      </c>
      <c r="H241" s="429">
        <f>ROUND(H239-H240,-2)</f>
        <v>151900</v>
      </c>
      <c r="I241" s="428"/>
      <c r="J241" s="428"/>
      <c r="K241" s="428"/>
      <c r="L241" s="428" t="s">
        <v>3</v>
      </c>
      <c r="M241" s="428"/>
      <c r="N241" s="428"/>
      <c r="O241" s="428"/>
      <c r="P241" s="433"/>
      <c r="Q241" s="324"/>
      <c r="R241" s="324"/>
      <c r="S241" s="324"/>
      <c r="T241" s="324"/>
      <c r="U241" s="324"/>
      <c r="V241" s="324"/>
      <c r="W241" s="324"/>
      <c r="X241" s="324"/>
      <c r="Y241" s="324"/>
      <c r="Z241" s="324"/>
      <c r="AA241" s="324"/>
      <c r="AB241" s="324"/>
      <c r="AC241" s="324"/>
      <c r="AD241" s="324"/>
      <c r="AE241" s="324"/>
      <c r="AF241" s="324"/>
      <c r="AG241" s="324"/>
      <c r="AH241" s="324"/>
      <c r="AI241" s="324"/>
      <c r="AJ241" s="324"/>
      <c r="AK241" s="324"/>
      <c r="AL241" s="324"/>
      <c r="AM241" s="324"/>
      <c r="AN241" s="324"/>
      <c r="AO241" s="324"/>
      <c r="AP241" s="324"/>
      <c r="AQ241" s="324"/>
      <c r="AR241" s="324"/>
      <c r="AS241" s="324"/>
      <c r="AT241" s="324"/>
      <c r="AU241" s="324"/>
      <c r="AV241" s="324"/>
      <c r="AW241" s="324"/>
      <c r="AX241" s="324"/>
      <c r="AY241" s="324"/>
      <c r="AZ241" s="324"/>
      <c r="BA241" s="324"/>
      <c r="BB241" s="324"/>
      <c r="BC241" s="324"/>
      <c r="BD241" s="324"/>
      <c r="BE241" s="324"/>
      <c r="BF241" s="324"/>
      <c r="BG241" s="324"/>
      <c r="BH241" s="324"/>
      <c r="BI241" s="324"/>
      <c r="BJ241" s="324"/>
      <c r="BK241" s="324"/>
      <c r="BL241" s="324"/>
      <c r="BM241" s="324"/>
      <c r="BN241" s="324"/>
      <c r="BO241" s="324"/>
      <c r="BP241" s="324"/>
      <c r="BQ241" s="324"/>
      <c r="BR241" s="324"/>
      <c r="BS241" s="324"/>
      <c r="BT241" s="324"/>
      <c r="BU241" s="324"/>
    </row>
    <row r="242" spans="1:73" s="342" customFormat="1" ht="20" customHeight="1" thickBot="1">
      <c r="A242" s="427"/>
      <c r="B242" s="428"/>
      <c r="C242" s="428"/>
      <c r="D242" s="428">
        <v>1200</v>
      </c>
      <c r="E242" s="428"/>
      <c r="F242" s="428"/>
      <c r="G242" s="428" t="s">
        <v>110</v>
      </c>
      <c r="H242" s="434">
        <f>COUNT(G119:G238)</f>
        <v>78</v>
      </c>
      <c r="I242" s="428"/>
      <c r="J242" s="428"/>
      <c r="K242" s="428"/>
      <c r="L242" s="428" t="s">
        <v>111</v>
      </c>
      <c r="M242" s="428"/>
      <c r="N242" s="428"/>
      <c r="O242" s="428"/>
      <c r="P242" s="433"/>
      <c r="Q242" s="324"/>
      <c r="R242" s="324"/>
      <c r="S242" s="324"/>
      <c r="T242" s="324"/>
      <c r="U242" s="324"/>
      <c r="V242" s="324"/>
      <c r="W242" s="324"/>
      <c r="X242" s="324"/>
      <c r="Y242" s="324"/>
      <c r="Z242" s="324"/>
      <c r="AA242" s="324"/>
      <c r="AB242" s="324"/>
      <c r="AC242" s="324"/>
      <c r="AD242" s="324"/>
      <c r="AE242" s="324"/>
      <c r="AF242" s="324"/>
      <c r="AG242" s="324"/>
      <c r="AH242" s="324"/>
      <c r="AI242" s="324"/>
      <c r="AJ242" s="324"/>
      <c r="AK242" s="324"/>
      <c r="AL242" s="324"/>
      <c r="AM242" s="324"/>
      <c r="AN242" s="324"/>
      <c r="AO242" s="324"/>
      <c r="AP242" s="324"/>
      <c r="AQ242" s="324"/>
      <c r="AR242" s="324"/>
      <c r="AS242" s="324"/>
      <c r="AT242" s="324"/>
      <c r="AU242" s="324"/>
      <c r="AV242" s="324"/>
      <c r="AW242" s="324"/>
      <c r="AX242" s="324"/>
      <c r="AY242" s="324"/>
      <c r="AZ242" s="324"/>
      <c r="BA242" s="324"/>
      <c r="BB242" s="324"/>
      <c r="BC242" s="324"/>
      <c r="BD242" s="324"/>
      <c r="BE242" s="324"/>
      <c r="BF242" s="324"/>
      <c r="BG242" s="324"/>
      <c r="BH242" s="324"/>
      <c r="BI242" s="324"/>
      <c r="BJ242" s="324"/>
      <c r="BK242" s="324"/>
      <c r="BL242" s="324"/>
      <c r="BM242" s="324"/>
      <c r="BN242" s="324"/>
      <c r="BO242" s="324"/>
      <c r="BP242" s="324"/>
      <c r="BQ242" s="324"/>
      <c r="BR242" s="324"/>
      <c r="BS242" s="324"/>
      <c r="BT242" s="324"/>
      <c r="BU242" s="324"/>
    </row>
    <row r="243" spans="1:73" s="342" customFormat="1" ht="20" customHeight="1" thickBot="1">
      <c r="A243" s="427"/>
      <c r="B243" s="428"/>
      <c r="C243" s="428"/>
      <c r="D243" s="428">
        <v>1800</v>
      </c>
      <c r="E243" s="428"/>
      <c r="F243" s="428"/>
      <c r="G243" s="428" t="s">
        <v>112</v>
      </c>
      <c r="H243" s="435">
        <f>IF(H242&gt;0,H241/H242,0)</f>
        <v>1947.4358974358975</v>
      </c>
      <c r="I243" s="428"/>
      <c r="J243" s="428"/>
      <c r="K243" s="428"/>
      <c r="L243" s="436">
        <f>L239+AE113</f>
        <v>954</v>
      </c>
      <c r="M243" s="428"/>
      <c r="N243" s="428"/>
      <c r="O243" s="428"/>
      <c r="P243" s="433"/>
      <c r="Q243" s="324"/>
      <c r="R243" s="324"/>
      <c r="S243" s="324"/>
      <c r="T243" s="324"/>
      <c r="U243" s="324"/>
      <c r="V243" s="324"/>
      <c r="W243" s="324"/>
      <c r="X243" s="324"/>
      <c r="Y243" s="324"/>
      <c r="Z243" s="324"/>
      <c r="AA243" s="324"/>
      <c r="AB243" s="324"/>
      <c r="AC243" s="324"/>
      <c r="AD243" s="324"/>
      <c r="AE243" s="324"/>
      <c r="AF243" s="324"/>
      <c r="AG243" s="324"/>
      <c r="AH243" s="324"/>
      <c r="AI243" s="324"/>
      <c r="AJ243" s="324"/>
      <c r="AK243" s="324"/>
      <c r="AL243" s="324"/>
      <c r="AM243" s="324"/>
      <c r="AN243" s="324"/>
      <c r="AO243" s="324"/>
      <c r="AP243" s="324"/>
      <c r="AQ243" s="324"/>
      <c r="AR243" s="324"/>
      <c r="AS243" s="324"/>
      <c r="AT243" s="324"/>
      <c r="AU243" s="324"/>
      <c r="AV243" s="324"/>
      <c r="AW243" s="324"/>
      <c r="AX243" s="324"/>
      <c r="AY243" s="324"/>
      <c r="AZ243" s="324"/>
      <c r="BA243" s="324"/>
      <c r="BB243" s="324"/>
      <c r="BC243" s="324"/>
      <c r="BD243" s="324"/>
      <c r="BE243" s="324"/>
      <c r="BF243" s="324"/>
      <c r="BG243" s="324"/>
      <c r="BH243" s="324"/>
      <c r="BI243" s="324"/>
      <c r="BJ243" s="324"/>
      <c r="BK243" s="324"/>
      <c r="BL243" s="324"/>
      <c r="BM243" s="324"/>
      <c r="BN243" s="324"/>
      <c r="BO243" s="324"/>
      <c r="BP243" s="324"/>
      <c r="BQ243" s="324"/>
      <c r="BR243" s="324"/>
      <c r="BS243" s="324"/>
      <c r="BT243" s="324"/>
      <c r="BU243" s="324"/>
    </row>
    <row r="244" spans="1:73" ht="15" customHeight="1">
      <c r="A244" s="437"/>
      <c r="B244" s="324"/>
      <c r="C244" s="324"/>
      <c r="D244" s="324"/>
      <c r="E244" s="324"/>
      <c r="F244" s="324"/>
      <c r="G244" s="324"/>
      <c r="H244" s="324"/>
      <c r="I244" s="324"/>
      <c r="J244" s="324"/>
      <c r="K244" s="324"/>
      <c r="L244" s="324"/>
      <c r="M244" s="324"/>
      <c r="N244" s="324"/>
      <c r="O244" s="324"/>
      <c r="P244" s="438"/>
      <c r="Q244" s="302"/>
      <c r="R244" s="302"/>
      <c r="S244" s="302"/>
      <c r="T244" s="302"/>
      <c r="U244" s="302"/>
      <c r="V244" s="302"/>
      <c r="W244" s="302"/>
      <c r="X244" s="302"/>
      <c r="Y244" s="302"/>
      <c r="Z244" s="302"/>
      <c r="AA244" s="302"/>
      <c r="AB244" s="302"/>
      <c r="AC244" s="302"/>
      <c r="AD244" s="302"/>
      <c r="AE244" s="302"/>
      <c r="AF244" s="302"/>
      <c r="AG244" s="302"/>
      <c r="AH244" s="302"/>
      <c r="AI244" s="302"/>
      <c r="AJ244" s="302"/>
      <c r="AK244" s="302"/>
      <c r="AL244" s="302"/>
      <c r="AM244" s="302"/>
      <c r="AN244" s="302"/>
      <c r="AO244" s="302"/>
      <c r="AP244" s="302"/>
      <c r="AQ244" s="302"/>
      <c r="AR244" s="302"/>
      <c r="AS244" s="302"/>
      <c r="AT244" s="302"/>
      <c r="AU244" s="302"/>
      <c r="AV244" s="302"/>
      <c r="AW244" s="302"/>
      <c r="AX244" s="302"/>
      <c r="AY244" s="302"/>
      <c r="AZ244" s="302"/>
      <c r="BA244" s="302"/>
      <c r="BB244" s="302"/>
      <c r="BC244" s="302"/>
      <c r="BD244" s="302"/>
      <c r="BE244" s="302"/>
      <c r="BF244" s="302"/>
      <c r="BG244" s="302"/>
      <c r="BH244" s="302"/>
      <c r="BI244" s="302"/>
      <c r="BJ244" s="302"/>
      <c r="BK244" s="302"/>
      <c r="BL244" s="302"/>
      <c r="BM244" s="302"/>
      <c r="BN244" s="302"/>
      <c r="BO244" s="302"/>
      <c r="BP244" s="302"/>
      <c r="BQ244" s="302"/>
      <c r="BR244" s="302"/>
      <c r="BS244" s="302"/>
      <c r="BT244" s="302"/>
      <c r="BU244" s="302"/>
    </row>
    <row r="245" spans="1:73" ht="15" customHeight="1">
      <c r="A245" s="439"/>
      <c r="B245" s="440"/>
      <c r="C245" s="440"/>
      <c r="D245" s="440"/>
      <c r="E245" s="440"/>
      <c r="F245" s="440"/>
      <c r="G245" s="440"/>
      <c r="H245" s="440"/>
      <c r="I245" s="440"/>
      <c r="J245" s="440"/>
      <c r="K245" s="440"/>
      <c r="L245" s="440"/>
      <c r="M245" s="440"/>
      <c r="N245" s="440"/>
      <c r="O245" s="440"/>
      <c r="P245" s="441"/>
      <c r="Q245" s="302"/>
      <c r="R245" s="302"/>
      <c r="S245" s="302"/>
      <c r="T245" s="302"/>
      <c r="U245" s="302"/>
      <c r="V245" s="302"/>
      <c r="W245" s="302"/>
      <c r="X245" s="302"/>
      <c r="Y245" s="302"/>
      <c r="Z245" s="302"/>
      <c r="AA245" s="302"/>
      <c r="AB245" s="302"/>
      <c r="AC245" s="302"/>
      <c r="AD245" s="302"/>
      <c r="AE245" s="302"/>
      <c r="AF245" s="302"/>
      <c r="AG245" s="302"/>
      <c r="AH245" s="302"/>
      <c r="AI245" s="302"/>
      <c r="AJ245" s="302"/>
      <c r="AK245" s="302"/>
      <c r="AL245" s="302"/>
      <c r="AM245" s="302"/>
      <c r="AN245" s="302"/>
      <c r="AO245" s="302"/>
      <c r="AP245" s="302"/>
      <c r="AQ245" s="302"/>
      <c r="AR245" s="302"/>
      <c r="AS245" s="302"/>
      <c r="AT245" s="302"/>
      <c r="AU245" s="302"/>
      <c r="AV245" s="302"/>
      <c r="AW245" s="302"/>
      <c r="AX245" s="302"/>
      <c r="AY245" s="302"/>
      <c r="AZ245" s="302"/>
      <c r="BA245" s="302"/>
      <c r="BB245" s="302"/>
      <c r="BC245" s="302"/>
      <c r="BD245" s="302"/>
      <c r="BE245" s="302"/>
      <c r="BF245" s="302"/>
      <c r="BG245" s="302"/>
      <c r="BH245" s="302"/>
      <c r="BI245" s="302"/>
      <c r="BJ245" s="302"/>
      <c r="BK245" s="302"/>
      <c r="BL245" s="302"/>
      <c r="BM245" s="302"/>
      <c r="BN245" s="302"/>
      <c r="BO245" s="302"/>
      <c r="BP245" s="302"/>
      <c r="BQ245" s="302"/>
      <c r="BR245" s="302"/>
      <c r="BS245" s="302"/>
      <c r="BT245" s="302"/>
      <c r="BU245" s="302"/>
    </row>
    <row r="246" spans="1:73" ht="14" thickBot="1">
      <c r="A246" s="302"/>
      <c r="B246" s="302"/>
      <c r="C246" s="302"/>
      <c r="D246" s="302"/>
      <c r="E246" s="302"/>
      <c r="F246" s="302"/>
      <c r="G246" s="302"/>
      <c r="H246" s="302"/>
      <c r="I246" s="302"/>
      <c r="J246" s="302"/>
      <c r="K246" s="302"/>
      <c r="L246" s="302"/>
      <c r="M246" s="302"/>
      <c r="N246" s="302"/>
      <c r="O246" s="302"/>
      <c r="P246" s="302"/>
      <c r="Q246" s="302"/>
      <c r="R246" s="302"/>
      <c r="S246" s="302"/>
      <c r="T246" s="302"/>
      <c r="U246" s="302"/>
      <c r="V246" s="302"/>
      <c r="W246" s="302"/>
      <c r="X246" s="302"/>
      <c r="Y246" s="302"/>
      <c r="Z246" s="302"/>
      <c r="AA246" s="302"/>
      <c r="AB246" s="302"/>
      <c r="AC246" s="302"/>
      <c r="AD246" s="302"/>
      <c r="AE246" s="302"/>
      <c r="AF246" s="302"/>
      <c r="AG246" s="302"/>
      <c r="AH246" s="302"/>
      <c r="AI246" s="302"/>
      <c r="AJ246" s="302"/>
      <c r="AK246" s="302"/>
      <c r="AL246" s="302"/>
      <c r="AM246" s="302"/>
      <c r="AN246" s="302"/>
      <c r="AO246" s="302"/>
      <c r="AP246" s="302"/>
      <c r="AQ246" s="302"/>
      <c r="AR246" s="302"/>
      <c r="AS246" s="302"/>
      <c r="AT246" s="302"/>
      <c r="AU246" s="302"/>
      <c r="AV246" s="302"/>
      <c r="AW246" s="302"/>
      <c r="AX246" s="302"/>
      <c r="AY246" s="302"/>
      <c r="AZ246" s="302"/>
      <c r="BA246" s="302"/>
      <c r="BB246" s="302"/>
      <c r="BC246" s="302"/>
      <c r="BD246" s="302"/>
      <c r="BE246" s="302"/>
      <c r="BF246" s="302"/>
      <c r="BG246" s="302"/>
      <c r="BH246" s="302"/>
      <c r="BI246" s="302"/>
      <c r="BJ246" s="302"/>
      <c r="BK246" s="302"/>
      <c r="BL246" s="302"/>
      <c r="BM246" s="302"/>
      <c r="BN246" s="302"/>
      <c r="BO246" s="302"/>
      <c r="BP246" s="302"/>
      <c r="BQ246" s="302"/>
      <c r="BR246" s="302"/>
      <c r="BS246" s="302"/>
      <c r="BT246" s="302"/>
      <c r="BU246" s="302"/>
    </row>
    <row r="247" spans="1:73">
      <c r="A247" s="442" t="s">
        <v>363</v>
      </c>
      <c r="B247" s="443"/>
      <c r="C247" s="443"/>
      <c r="D247" s="443"/>
      <c r="E247" s="444" t="s">
        <v>364</v>
      </c>
      <c r="F247" s="443"/>
      <c r="G247" s="443"/>
      <c r="H247" s="443"/>
      <c r="I247" s="443"/>
      <c r="J247" s="443"/>
      <c r="K247" s="443"/>
      <c r="L247" s="443"/>
      <c r="M247" s="443"/>
      <c r="N247" s="443"/>
      <c r="O247" s="444" t="s">
        <v>365</v>
      </c>
      <c r="P247" s="443"/>
      <c r="Q247" s="443"/>
      <c r="R247" s="443"/>
      <c r="S247" s="443"/>
      <c r="T247" s="443"/>
      <c r="U247" s="445"/>
      <c r="V247" s="302"/>
      <c r="W247" s="302"/>
      <c r="X247" s="302"/>
      <c r="Y247" s="302"/>
      <c r="Z247" s="302"/>
      <c r="AA247" s="302"/>
      <c r="AB247" s="302"/>
      <c r="AC247" s="302"/>
      <c r="AD247" s="302"/>
      <c r="AE247" s="302"/>
      <c r="AF247" s="302"/>
      <c r="AG247" s="302"/>
      <c r="AH247" s="302"/>
      <c r="AI247" s="302"/>
      <c r="AJ247" s="302"/>
      <c r="AK247" s="302"/>
      <c r="AL247" s="302"/>
      <c r="AM247" s="302"/>
      <c r="AN247" s="302"/>
      <c r="AO247" s="302"/>
      <c r="AP247" s="302"/>
      <c r="AQ247" s="302"/>
      <c r="AR247" s="302"/>
      <c r="AS247" s="302"/>
      <c r="AT247" s="302"/>
      <c r="AU247" s="302"/>
      <c r="AV247" s="302"/>
      <c r="AW247" s="302"/>
      <c r="AX247" s="302"/>
      <c r="AY247" s="302"/>
      <c r="AZ247" s="302"/>
      <c r="BA247" s="302"/>
      <c r="BB247" s="302"/>
      <c r="BC247" s="302"/>
      <c r="BD247" s="302"/>
      <c r="BE247" s="302"/>
      <c r="BF247" s="302"/>
      <c r="BG247" s="302"/>
      <c r="BH247" s="302"/>
      <c r="BI247" s="302"/>
      <c r="BJ247" s="302"/>
      <c r="BK247" s="302"/>
      <c r="BL247" s="302"/>
      <c r="BM247" s="302"/>
      <c r="BN247" s="302"/>
      <c r="BO247" s="302"/>
      <c r="BP247" s="302"/>
      <c r="BQ247" s="302"/>
      <c r="BR247" s="302"/>
      <c r="BS247" s="302"/>
      <c r="BT247" s="302"/>
      <c r="BU247" s="302"/>
    </row>
    <row r="248" spans="1:73">
      <c r="A248" s="446"/>
      <c r="U248" s="447"/>
      <c r="V248" s="302"/>
      <c r="W248" s="302"/>
      <c r="X248" s="302"/>
      <c r="Y248" s="302"/>
      <c r="Z248" s="302"/>
      <c r="AA248" s="302"/>
      <c r="AB248" s="302"/>
      <c r="AC248" s="302"/>
      <c r="AD248" s="302"/>
      <c r="AE248" s="302"/>
      <c r="AF248" s="302"/>
      <c r="AG248" s="302"/>
      <c r="AH248" s="302"/>
      <c r="AI248" s="302"/>
      <c r="AJ248" s="302"/>
      <c r="AK248" s="302"/>
      <c r="AL248" s="302"/>
      <c r="AM248" s="302"/>
      <c r="AN248" s="302"/>
      <c r="AO248" s="302"/>
      <c r="AP248" s="302"/>
      <c r="AQ248" s="302"/>
      <c r="AR248" s="302"/>
      <c r="AS248" s="302"/>
      <c r="AT248" s="302"/>
      <c r="AU248" s="302"/>
      <c r="AV248" s="302"/>
      <c r="AW248" s="302"/>
      <c r="AX248" s="302"/>
      <c r="AY248" s="302"/>
      <c r="AZ248" s="302"/>
      <c r="BA248" s="302"/>
      <c r="BB248" s="302"/>
      <c r="BC248" s="302"/>
      <c r="BD248" s="302"/>
      <c r="BE248" s="302"/>
      <c r="BF248" s="302"/>
      <c r="BG248" s="302"/>
      <c r="BH248" s="302"/>
      <c r="BI248" s="302"/>
      <c r="BJ248" s="302"/>
      <c r="BK248" s="302"/>
      <c r="BL248" s="302"/>
      <c r="BM248" s="302"/>
      <c r="BN248" s="302"/>
      <c r="BO248" s="302"/>
      <c r="BP248" s="302"/>
      <c r="BQ248" s="302"/>
      <c r="BR248" s="302"/>
      <c r="BS248" s="302"/>
      <c r="BT248" s="302"/>
      <c r="BU248" s="302"/>
    </row>
    <row r="249" spans="1:73">
      <c r="A249" s="448"/>
      <c r="O249" s="306" t="s">
        <v>366</v>
      </c>
      <c r="U249" s="447"/>
      <c r="V249" s="302"/>
      <c r="W249" s="302"/>
      <c r="X249" s="302"/>
      <c r="Y249" s="302"/>
      <c r="Z249" s="302"/>
      <c r="AA249" s="302"/>
      <c r="AB249" s="302"/>
      <c r="AC249" s="302"/>
      <c r="AD249" s="302"/>
      <c r="AE249" s="302"/>
      <c r="AF249" s="302"/>
      <c r="AG249" s="302"/>
      <c r="AH249" s="302"/>
      <c r="AI249" s="302"/>
      <c r="AJ249" s="302"/>
      <c r="AK249" s="302"/>
      <c r="AL249" s="302"/>
      <c r="AM249" s="302"/>
      <c r="AN249" s="302"/>
      <c r="AO249" s="302"/>
      <c r="AP249" s="302"/>
      <c r="AQ249" s="302"/>
      <c r="AR249" s="302"/>
      <c r="AS249" s="302"/>
      <c r="AT249" s="302"/>
      <c r="AU249" s="302"/>
      <c r="AV249" s="302"/>
      <c r="AW249" s="302"/>
      <c r="AX249" s="302"/>
      <c r="AY249" s="302"/>
      <c r="AZ249" s="302"/>
      <c r="BA249" s="302"/>
      <c r="BB249" s="302"/>
      <c r="BC249" s="302"/>
      <c r="BD249" s="302"/>
      <c r="BE249" s="302"/>
      <c r="BF249" s="302"/>
      <c r="BG249" s="302"/>
      <c r="BH249" s="302"/>
      <c r="BI249" s="302"/>
      <c r="BJ249" s="302"/>
      <c r="BK249" s="302"/>
      <c r="BL249" s="302"/>
      <c r="BM249" s="302"/>
      <c r="BN249" s="302"/>
      <c r="BO249" s="302"/>
      <c r="BP249" s="302"/>
      <c r="BQ249" s="302"/>
      <c r="BR249" s="302"/>
      <c r="BS249" s="302"/>
      <c r="BT249" s="302"/>
      <c r="BU249" s="302"/>
    </row>
    <row r="250" spans="1:73">
      <c r="A250" s="449" t="s">
        <v>367</v>
      </c>
      <c r="B250" s="450"/>
      <c r="C250" s="450" t="s">
        <v>368</v>
      </c>
      <c r="D250" s="450"/>
      <c r="E250" s="450"/>
      <c r="F250" s="450" t="s">
        <v>369</v>
      </c>
      <c r="G250" s="450"/>
      <c r="H250" s="450"/>
      <c r="I250" s="450" t="s">
        <v>370</v>
      </c>
      <c r="J250" s="450"/>
      <c r="K250" s="450" t="s">
        <v>371</v>
      </c>
      <c r="L250" s="450"/>
      <c r="M250" s="450"/>
      <c r="U250" s="447"/>
      <c r="V250" s="302"/>
      <c r="W250" s="302"/>
      <c r="X250" s="302"/>
      <c r="Y250" s="302"/>
      <c r="Z250" s="302"/>
      <c r="AA250" s="302"/>
      <c r="AB250" s="302"/>
      <c r="AC250" s="302"/>
      <c r="AD250" s="302"/>
      <c r="AE250" s="302"/>
      <c r="AF250" s="302"/>
      <c r="AG250" s="302"/>
      <c r="AH250" s="302"/>
      <c r="AI250" s="302"/>
      <c r="AJ250" s="302"/>
      <c r="AK250" s="302"/>
      <c r="AL250" s="302"/>
      <c r="AM250" s="302"/>
      <c r="AN250" s="302"/>
      <c r="AO250" s="302"/>
      <c r="AP250" s="302"/>
      <c r="AQ250" s="302"/>
      <c r="AR250" s="302"/>
      <c r="AS250" s="302"/>
      <c r="AT250" s="302"/>
      <c r="AU250" s="302"/>
      <c r="AV250" s="302"/>
      <c r="AW250" s="302"/>
      <c r="AX250" s="302"/>
      <c r="AY250" s="302"/>
      <c r="AZ250" s="302"/>
      <c r="BA250" s="302"/>
      <c r="BB250" s="302"/>
      <c r="BC250" s="302"/>
      <c r="BD250" s="302"/>
      <c r="BE250" s="302"/>
      <c r="BF250" s="302"/>
      <c r="BG250" s="302"/>
      <c r="BH250" s="302"/>
      <c r="BI250" s="302"/>
      <c r="BJ250" s="302"/>
      <c r="BK250" s="302"/>
      <c r="BL250" s="302"/>
      <c r="BM250" s="302"/>
      <c r="BN250" s="302"/>
      <c r="BO250" s="302"/>
      <c r="BP250" s="302"/>
      <c r="BQ250" s="302"/>
      <c r="BR250" s="302"/>
      <c r="BS250" s="302"/>
      <c r="BT250" s="302"/>
      <c r="BU250" s="302"/>
    </row>
    <row r="251" spans="1:73">
      <c r="A251" s="446"/>
      <c r="O251" s="306" t="s">
        <v>372</v>
      </c>
      <c r="Q251" s="306" t="s">
        <v>373</v>
      </c>
      <c r="S251" s="306" t="s">
        <v>374</v>
      </c>
      <c r="U251" s="447"/>
      <c r="V251" s="302"/>
      <c r="W251" s="302"/>
      <c r="X251" s="302"/>
      <c r="Y251" s="302"/>
      <c r="Z251" s="302"/>
      <c r="AA251" s="302"/>
      <c r="AB251" s="302"/>
      <c r="AC251" s="302"/>
      <c r="AD251" s="302"/>
      <c r="AE251" s="302"/>
      <c r="AF251" s="302"/>
      <c r="AG251" s="302"/>
      <c r="AH251" s="302"/>
      <c r="AI251" s="302"/>
      <c r="AJ251" s="302"/>
      <c r="AK251" s="302"/>
      <c r="AL251" s="302"/>
      <c r="AM251" s="302"/>
      <c r="AN251" s="302"/>
      <c r="AO251" s="302"/>
      <c r="AP251" s="302"/>
      <c r="AQ251" s="302"/>
      <c r="AR251" s="302"/>
      <c r="AS251" s="302"/>
      <c r="AT251" s="302"/>
      <c r="AU251" s="302"/>
      <c r="AV251" s="302"/>
      <c r="AW251" s="302"/>
      <c r="AX251" s="302"/>
      <c r="AY251" s="302"/>
      <c r="AZ251" s="302"/>
      <c r="BA251" s="302"/>
      <c r="BB251" s="302"/>
      <c r="BC251" s="302"/>
      <c r="BD251" s="302"/>
      <c r="BE251" s="302"/>
      <c r="BF251" s="302"/>
      <c r="BG251" s="302"/>
      <c r="BH251" s="302"/>
      <c r="BI251" s="302"/>
      <c r="BJ251" s="302"/>
      <c r="BK251" s="302"/>
      <c r="BL251" s="302"/>
      <c r="BM251" s="302"/>
      <c r="BN251" s="302"/>
      <c r="BO251" s="302"/>
      <c r="BP251" s="302"/>
      <c r="BQ251" s="302"/>
      <c r="BR251" s="302"/>
      <c r="BS251" s="302"/>
      <c r="BT251" s="302"/>
      <c r="BU251" s="302"/>
    </row>
    <row r="252" spans="1:73">
      <c r="A252" s="446"/>
      <c r="C252" s="306" t="s">
        <v>375</v>
      </c>
      <c r="D252" s="306" t="s">
        <v>376</v>
      </c>
      <c r="I252" s="451" t="s">
        <v>377</v>
      </c>
      <c r="J252" s="451" t="s">
        <v>376</v>
      </c>
      <c r="K252" s="451" t="s">
        <v>377</v>
      </c>
      <c r="L252" s="451" t="s">
        <v>376</v>
      </c>
      <c r="U252" s="447"/>
      <c r="V252" s="302"/>
      <c r="W252" s="302"/>
      <c r="X252" s="302"/>
      <c r="Y252" s="302"/>
      <c r="Z252" s="302"/>
      <c r="AA252" s="302"/>
      <c r="AB252" s="302"/>
      <c r="AC252" s="302"/>
      <c r="AD252" s="302"/>
      <c r="AE252" s="302"/>
      <c r="AF252" s="302"/>
      <c r="AG252" s="302"/>
      <c r="AH252" s="302"/>
      <c r="AI252" s="302"/>
      <c r="AJ252" s="302"/>
      <c r="AK252" s="302"/>
      <c r="AL252" s="302"/>
      <c r="AM252" s="302"/>
      <c r="AN252" s="302"/>
      <c r="AO252" s="302"/>
      <c r="AP252" s="302"/>
      <c r="AQ252" s="302"/>
      <c r="AR252" s="302"/>
      <c r="AS252" s="302"/>
      <c r="AT252" s="302"/>
      <c r="AU252" s="302"/>
      <c r="AV252" s="302"/>
      <c r="AW252" s="302"/>
      <c r="AX252" s="302"/>
      <c r="AY252" s="302"/>
      <c r="AZ252" s="302"/>
      <c r="BA252" s="302"/>
      <c r="BB252" s="302"/>
      <c r="BC252" s="302"/>
      <c r="BD252" s="302"/>
      <c r="BE252" s="302"/>
      <c r="BF252" s="302"/>
      <c r="BG252" s="302"/>
      <c r="BH252" s="302"/>
      <c r="BI252" s="302"/>
      <c r="BJ252" s="302"/>
      <c r="BK252" s="302"/>
      <c r="BL252" s="302"/>
      <c r="BM252" s="302"/>
      <c r="BN252" s="302"/>
      <c r="BO252" s="302"/>
      <c r="BP252" s="302"/>
      <c r="BQ252" s="302"/>
      <c r="BR252" s="302"/>
      <c r="BS252" s="302"/>
      <c r="BT252" s="302"/>
      <c r="BU252" s="302"/>
    </row>
    <row r="253" spans="1:73">
      <c r="A253" s="452">
        <v>225</v>
      </c>
      <c r="B253" s="453"/>
      <c r="C253" s="453">
        <v>375</v>
      </c>
      <c r="D253" s="453">
        <f t="shared" ref="D253:D264" si="112">C253*2</f>
        <v>750</v>
      </c>
      <c r="E253" s="453"/>
      <c r="F253" s="453">
        <v>600</v>
      </c>
      <c r="G253" s="453"/>
      <c r="H253" s="453"/>
      <c r="I253" s="453">
        <f t="shared" ref="I253:I264" si="113">A253+C253+F253</f>
        <v>1200</v>
      </c>
      <c r="J253" s="453">
        <f t="shared" ref="J253:J264" si="114">A253+D253+F253</f>
        <v>1575</v>
      </c>
      <c r="K253" s="454">
        <v>1200</v>
      </c>
      <c r="L253" s="455">
        <v>1800</v>
      </c>
      <c r="O253" s="306">
        <v>1500</v>
      </c>
      <c r="Q253" s="306">
        <v>1200</v>
      </c>
      <c r="S253" s="306">
        <f>730+40</f>
        <v>770</v>
      </c>
      <c r="U253" s="447"/>
      <c r="V253" s="302"/>
      <c r="W253" s="302"/>
      <c r="X253" s="302"/>
      <c r="Y253" s="302"/>
      <c r="Z253" s="302"/>
      <c r="AA253" s="302"/>
      <c r="AB253" s="302"/>
      <c r="AC253" s="302"/>
      <c r="AD253" s="302"/>
      <c r="AE253" s="302"/>
      <c r="AF253" s="302"/>
      <c r="AG253" s="302"/>
      <c r="AH253" s="302"/>
      <c r="AI253" s="302"/>
      <c r="AJ253" s="302"/>
      <c r="AK253" s="302"/>
      <c r="AL253" s="302"/>
      <c r="AM253" s="302"/>
      <c r="AN253" s="302"/>
      <c r="AO253" s="302"/>
      <c r="AP253" s="302"/>
      <c r="AQ253" s="302"/>
      <c r="AR253" s="302"/>
      <c r="AS253" s="302"/>
      <c r="AT253" s="302"/>
      <c r="AU253" s="302"/>
      <c r="AV253" s="302"/>
      <c r="AW253" s="302"/>
      <c r="AX253" s="302"/>
      <c r="AY253" s="302"/>
      <c r="AZ253" s="302"/>
      <c r="BA253" s="302"/>
      <c r="BB253" s="302"/>
      <c r="BC253" s="302"/>
      <c r="BD253" s="302"/>
      <c r="BE253" s="302"/>
      <c r="BF253" s="302"/>
      <c r="BG253" s="302"/>
      <c r="BH253" s="302"/>
      <c r="BI253" s="302"/>
      <c r="BJ253" s="302"/>
      <c r="BK253" s="302"/>
      <c r="BL253" s="302"/>
      <c r="BM253" s="302"/>
      <c r="BN253" s="302"/>
      <c r="BO253" s="302"/>
      <c r="BP253" s="302"/>
      <c r="BQ253" s="302"/>
      <c r="BR253" s="302"/>
      <c r="BS253" s="302"/>
      <c r="BT253" s="302"/>
      <c r="BU253" s="302"/>
    </row>
    <row r="254" spans="1:73">
      <c r="A254" s="456">
        <v>300</v>
      </c>
      <c r="B254" s="457"/>
      <c r="C254" s="457">
        <v>375</v>
      </c>
      <c r="D254" s="457">
        <f t="shared" si="112"/>
        <v>750</v>
      </c>
      <c r="E254" s="457"/>
      <c r="F254" s="457">
        <v>600</v>
      </c>
      <c r="G254" s="457"/>
      <c r="H254" s="457"/>
      <c r="I254" s="457">
        <f t="shared" si="113"/>
        <v>1275</v>
      </c>
      <c r="J254" s="457">
        <f t="shared" si="114"/>
        <v>1650</v>
      </c>
      <c r="K254" s="458">
        <v>1350</v>
      </c>
      <c r="L254" s="455">
        <v>1800</v>
      </c>
      <c r="O254" s="306">
        <v>1800</v>
      </c>
      <c r="Q254" s="306">
        <v>1350</v>
      </c>
      <c r="S254" s="306">
        <f>790+40</f>
        <v>830</v>
      </c>
      <c r="U254" s="447"/>
      <c r="V254" s="302"/>
      <c r="W254" s="302"/>
      <c r="X254" s="302"/>
      <c r="Y254" s="302"/>
      <c r="Z254" s="302"/>
      <c r="AA254" s="302"/>
      <c r="AB254" s="302"/>
      <c r="AC254" s="302"/>
      <c r="AD254" s="302"/>
      <c r="AE254" s="302"/>
      <c r="AF254" s="302"/>
      <c r="AG254" s="302"/>
      <c r="AH254" s="302"/>
      <c r="AI254" s="302"/>
      <c r="AJ254" s="302"/>
      <c r="AK254" s="302"/>
      <c r="AL254" s="302"/>
      <c r="AM254" s="302"/>
      <c r="AN254" s="302"/>
      <c r="AO254" s="302"/>
      <c r="AP254" s="302"/>
      <c r="AQ254" s="302"/>
      <c r="AR254" s="302"/>
      <c r="AS254" s="302"/>
      <c r="AT254" s="302"/>
      <c r="AU254" s="302"/>
      <c r="AV254" s="302"/>
      <c r="AW254" s="302"/>
      <c r="AX254" s="302"/>
      <c r="AY254" s="302"/>
      <c r="AZ254" s="302"/>
      <c r="BA254" s="302"/>
      <c r="BB254" s="302"/>
      <c r="BC254" s="302"/>
      <c r="BD254" s="302"/>
      <c r="BE254" s="302"/>
      <c r="BF254" s="302"/>
      <c r="BG254" s="302"/>
      <c r="BH254" s="302"/>
      <c r="BI254" s="302"/>
      <c r="BJ254" s="302"/>
      <c r="BK254" s="302"/>
      <c r="BL254" s="302"/>
      <c r="BM254" s="302"/>
      <c r="BN254" s="302"/>
      <c r="BO254" s="302"/>
      <c r="BP254" s="302"/>
      <c r="BQ254" s="302"/>
      <c r="BR254" s="302"/>
      <c r="BS254" s="302"/>
      <c r="BT254" s="302"/>
      <c r="BU254" s="302"/>
    </row>
    <row r="255" spans="1:73">
      <c r="A255" s="456">
        <v>375</v>
      </c>
      <c r="B255" s="457"/>
      <c r="C255" s="457">
        <v>375</v>
      </c>
      <c r="D255" s="457">
        <f t="shared" si="112"/>
        <v>750</v>
      </c>
      <c r="E255" s="457"/>
      <c r="F255" s="457">
        <v>600</v>
      </c>
      <c r="G255" s="457"/>
      <c r="H255" s="457"/>
      <c r="I255" s="457">
        <f t="shared" si="113"/>
        <v>1350</v>
      </c>
      <c r="J255" s="457">
        <f t="shared" si="114"/>
        <v>1725</v>
      </c>
      <c r="K255" s="458">
        <v>1350</v>
      </c>
      <c r="L255" s="455">
        <v>1800</v>
      </c>
      <c r="O255" s="306">
        <v>2100</v>
      </c>
      <c r="Q255" s="306">
        <v>1500</v>
      </c>
      <c r="S255" s="306">
        <f>825+40</f>
        <v>865</v>
      </c>
      <c r="U255" s="447"/>
      <c r="V255" s="302"/>
      <c r="W255" s="302"/>
      <c r="X255" s="302"/>
      <c r="Y255" s="302"/>
      <c r="Z255" s="302"/>
      <c r="AA255" s="302"/>
      <c r="AB255" s="302"/>
      <c r="AC255" s="302"/>
      <c r="AD255" s="302"/>
      <c r="AE255" s="302"/>
      <c r="AF255" s="302"/>
      <c r="AG255" s="302"/>
      <c r="AH255" s="302"/>
      <c r="AI255" s="302"/>
      <c r="AJ255" s="302"/>
      <c r="AK255" s="302"/>
      <c r="AL255" s="302"/>
      <c r="AM255" s="302"/>
      <c r="AN255" s="302"/>
      <c r="AO255" s="302"/>
      <c r="AP255" s="302"/>
      <c r="AQ255" s="302"/>
      <c r="AR255" s="302"/>
      <c r="AS255" s="302"/>
      <c r="AT255" s="302"/>
      <c r="AU255" s="302"/>
      <c r="AV255" s="302"/>
      <c r="AW255" s="302"/>
      <c r="AX255" s="302"/>
      <c r="AY255" s="302"/>
      <c r="AZ255" s="302"/>
      <c r="BA255" s="302"/>
      <c r="BB255" s="302"/>
      <c r="BC255" s="302"/>
      <c r="BD255" s="302"/>
      <c r="BE255" s="302"/>
      <c r="BF255" s="302"/>
      <c r="BG255" s="302"/>
      <c r="BH255" s="302"/>
      <c r="BI255" s="302"/>
      <c r="BJ255" s="302"/>
      <c r="BK255" s="302"/>
      <c r="BL255" s="302"/>
      <c r="BM255" s="302"/>
      <c r="BN255" s="302"/>
      <c r="BO255" s="302"/>
      <c r="BP255" s="302"/>
      <c r="BQ255" s="302"/>
      <c r="BR255" s="302"/>
      <c r="BS255" s="302"/>
      <c r="BT255" s="302"/>
      <c r="BU255" s="302"/>
    </row>
    <row r="256" spans="1:73">
      <c r="A256" s="459">
        <v>450</v>
      </c>
      <c r="B256" s="460"/>
      <c r="C256" s="460">
        <v>375</v>
      </c>
      <c r="D256" s="460">
        <f t="shared" si="112"/>
        <v>750</v>
      </c>
      <c r="E256" s="460"/>
      <c r="F256" s="460">
        <v>750</v>
      </c>
      <c r="G256" s="460"/>
      <c r="H256" s="460"/>
      <c r="I256" s="460">
        <f t="shared" si="113"/>
        <v>1575</v>
      </c>
      <c r="J256" s="460">
        <f t="shared" si="114"/>
        <v>1950</v>
      </c>
      <c r="K256" s="455">
        <v>1800</v>
      </c>
      <c r="L256" s="461">
        <v>2100</v>
      </c>
      <c r="O256" s="306">
        <v>2400</v>
      </c>
      <c r="Q256" s="306">
        <v>1800</v>
      </c>
      <c r="S256" s="306">
        <f>1135+40</f>
        <v>1175</v>
      </c>
      <c r="U256" s="447"/>
      <c r="V256" s="302"/>
      <c r="W256" s="302"/>
      <c r="X256" s="302"/>
      <c r="Y256" s="302"/>
      <c r="Z256" s="302"/>
      <c r="AA256" s="302"/>
      <c r="AB256" s="302"/>
      <c r="AC256" s="302"/>
      <c r="AD256" s="302"/>
      <c r="AE256" s="302"/>
      <c r="AF256" s="302"/>
      <c r="AG256" s="302"/>
      <c r="AH256" s="302"/>
      <c r="AI256" s="302"/>
      <c r="AJ256" s="302"/>
      <c r="AK256" s="302"/>
      <c r="AL256" s="302"/>
      <c r="AM256" s="302"/>
      <c r="AN256" s="302"/>
      <c r="AO256" s="302"/>
      <c r="AP256" s="302"/>
      <c r="AQ256" s="302"/>
      <c r="AR256" s="302"/>
      <c r="AS256" s="302"/>
      <c r="AT256" s="302"/>
      <c r="AU256" s="302"/>
      <c r="AV256" s="302"/>
      <c r="AW256" s="302"/>
      <c r="AX256" s="302"/>
      <c r="AY256" s="302"/>
      <c r="AZ256" s="302"/>
      <c r="BA256" s="302"/>
      <c r="BB256" s="302"/>
      <c r="BC256" s="302"/>
      <c r="BD256" s="302"/>
      <c r="BE256" s="302"/>
      <c r="BF256" s="302"/>
      <c r="BG256" s="302"/>
      <c r="BH256" s="302"/>
      <c r="BI256" s="302"/>
      <c r="BJ256" s="302"/>
      <c r="BK256" s="302"/>
      <c r="BL256" s="302"/>
      <c r="BM256" s="302"/>
      <c r="BN256" s="302"/>
      <c r="BO256" s="302"/>
      <c r="BP256" s="302"/>
      <c r="BQ256" s="302"/>
      <c r="BR256" s="302"/>
      <c r="BS256" s="302"/>
      <c r="BT256" s="302"/>
      <c r="BU256" s="302"/>
    </row>
    <row r="257" spans="1:73">
      <c r="A257" s="459">
        <v>525</v>
      </c>
      <c r="B257" s="460"/>
      <c r="C257" s="460">
        <v>375</v>
      </c>
      <c r="D257" s="460">
        <f t="shared" si="112"/>
        <v>750</v>
      </c>
      <c r="E257" s="460"/>
      <c r="F257" s="460">
        <v>750</v>
      </c>
      <c r="G257" s="460"/>
      <c r="H257" s="460"/>
      <c r="I257" s="460">
        <f t="shared" si="113"/>
        <v>1650</v>
      </c>
      <c r="J257" s="460">
        <f t="shared" si="114"/>
        <v>2025</v>
      </c>
      <c r="K257" s="455">
        <v>1800</v>
      </c>
      <c r="L257" s="461">
        <v>2100</v>
      </c>
      <c r="O257" s="306">
        <v>2700</v>
      </c>
      <c r="Q257" s="306">
        <v>2100</v>
      </c>
      <c r="S257" s="306">
        <f>1350+40</f>
        <v>1390</v>
      </c>
      <c r="U257" s="447"/>
      <c r="V257" s="302"/>
      <c r="W257" s="302"/>
      <c r="X257" s="302"/>
      <c r="Y257" s="302"/>
      <c r="Z257" s="302"/>
      <c r="AA257" s="302"/>
      <c r="AB257" s="302"/>
      <c r="AC257" s="302"/>
      <c r="AD257" s="302"/>
      <c r="AE257" s="302"/>
      <c r="AF257" s="302"/>
      <c r="AG257" s="302"/>
      <c r="AH257" s="302"/>
      <c r="AI257" s="302"/>
      <c r="AJ257" s="302"/>
      <c r="AK257" s="302"/>
      <c r="AL257" s="302"/>
      <c r="AM257" s="302"/>
      <c r="AN257" s="302"/>
      <c r="AO257" s="302"/>
      <c r="AP257" s="302"/>
      <c r="AQ257" s="302"/>
      <c r="AR257" s="302"/>
      <c r="AS257" s="302"/>
      <c r="AT257" s="302"/>
      <c r="AU257" s="302"/>
      <c r="AV257" s="302"/>
      <c r="AW257" s="302"/>
      <c r="AX257" s="302"/>
      <c r="AY257" s="302"/>
      <c r="AZ257" s="302"/>
      <c r="BA257" s="302"/>
      <c r="BB257" s="302"/>
      <c r="BC257" s="302"/>
      <c r="BD257" s="302"/>
      <c r="BE257" s="302"/>
      <c r="BF257" s="302"/>
      <c r="BG257" s="302"/>
      <c r="BH257" s="302"/>
      <c r="BI257" s="302"/>
      <c r="BJ257" s="302"/>
      <c r="BK257" s="302"/>
      <c r="BL257" s="302"/>
      <c r="BM257" s="302"/>
      <c r="BN257" s="302"/>
      <c r="BO257" s="302"/>
      <c r="BP257" s="302"/>
      <c r="BQ257" s="302"/>
      <c r="BR257" s="302"/>
      <c r="BS257" s="302"/>
      <c r="BT257" s="302"/>
      <c r="BU257" s="302"/>
    </row>
    <row r="258" spans="1:73">
      <c r="A258" s="462">
        <v>600</v>
      </c>
      <c r="B258" s="463"/>
      <c r="C258" s="463">
        <v>375</v>
      </c>
      <c r="D258" s="463">
        <f t="shared" si="112"/>
        <v>750</v>
      </c>
      <c r="E258" s="463"/>
      <c r="F258" s="463">
        <v>1100</v>
      </c>
      <c r="G258" s="463"/>
      <c r="H258" s="463"/>
      <c r="I258" s="463">
        <f t="shared" si="113"/>
        <v>2075</v>
      </c>
      <c r="J258" s="463">
        <f t="shared" si="114"/>
        <v>2450</v>
      </c>
      <c r="K258" s="461">
        <v>2100</v>
      </c>
      <c r="L258" s="464">
        <v>2700</v>
      </c>
      <c r="O258" s="306">
        <v>3000</v>
      </c>
      <c r="Q258" s="306">
        <v>2400</v>
      </c>
      <c r="S258" s="306">
        <f>1650+40</f>
        <v>1690</v>
      </c>
      <c r="U258" s="447"/>
      <c r="V258" s="302"/>
      <c r="W258" s="302"/>
      <c r="X258" s="302"/>
      <c r="Y258" s="302"/>
      <c r="Z258" s="302"/>
      <c r="AA258" s="302"/>
      <c r="AB258" s="302"/>
      <c r="AC258" s="302"/>
      <c r="AD258" s="302"/>
      <c r="AE258" s="302"/>
      <c r="AF258" s="302"/>
      <c r="AG258" s="302"/>
      <c r="AH258" s="302"/>
      <c r="AI258" s="302"/>
      <c r="AJ258" s="302"/>
      <c r="AK258" s="302"/>
      <c r="AL258" s="302"/>
      <c r="AM258" s="302"/>
      <c r="AN258" s="302"/>
      <c r="AO258" s="302"/>
      <c r="AP258" s="302"/>
      <c r="AQ258" s="302"/>
      <c r="AR258" s="302"/>
      <c r="AS258" s="302"/>
      <c r="AT258" s="302"/>
      <c r="AU258" s="302"/>
      <c r="AV258" s="302"/>
      <c r="AW258" s="302"/>
      <c r="AX258" s="302"/>
      <c r="AY258" s="302"/>
      <c r="AZ258" s="302"/>
      <c r="BA258" s="302"/>
      <c r="BB258" s="302"/>
      <c r="BC258" s="302"/>
      <c r="BD258" s="302"/>
      <c r="BE258" s="302"/>
      <c r="BF258" s="302"/>
      <c r="BG258" s="302"/>
      <c r="BH258" s="302"/>
      <c r="BI258" s="302"/>
      <c r="BJ258" s="302"/>
      <c r="BK258" s="302"/>
      <c r="BL258" s="302"/>
      <c r="BM258" s="302"/>
      <c r="BN258" s="302"/>
      <c r="BO258" s="302"/>
      <c r="BP258" s="302"/>
      <c r="BQ258" s="302"/>
      <c r="BR258" s="302"/>
      <c r="BS258" s="302"/>
      <c r="BT258" s="302"/>
      <c r="BU258" s="302"/>
    </row>
    <row r="259" spans="1:73">
      <c r="A259" s="465">
        <v>675</v>
      </c>
      <c r="B259" s="466"/>
      <c r="C259" s="466">
        <v>375</v>
      </c>
      <c r="D259" s="466">
        <f t="shared" si="112"/>
        <v>750</v>
      </c>
      <c r="E259" s="466"/>
      <c r="F259" s="466">
        <v>1100</v>
      </c>
      <c r="G259" s="466"/>
      <c r="H259" s="466"/>
      <c r="I259" s="466">
        <f t="shared" si="113"/>
        <v>2150</v>
      </c>
      <c r="J259" s="466">
        <f t="shared" si="114"/>
        <v>2525</v>
      </c>
      <c r="K259" s="467">
        <v>2400</v>
      </c>
      <c r="L259" s="464">
        <v>2700</v>
      </c>
      <c r="O259" s="306">
        <v>3600</v>
      </c>
      <c r="Q259" s="306">
        <v>2700</v>
      </c>
      <c r="U259" s="447"/>
      <c r="V259" s="302"/>
      <c r="W259" s="302"/>
      <c r="X259" s="302"/>
      <c r="Y259" s="302"/>
      <c r="Z259" s="302"/>
      <c r="AA259" s="302"/>
      <c r="AB259" s="302"/>
      <c r="AC259" s="302"/>
      <c r="AD259" s="302"/>
      <c r="AE259" s="302"/>
      <c r="AF259" s="302"/>
      <c r="AG259" s="302"/>
      <c r="AH259" s="302"/>
      <c r="AI259" s="302"/>
      <c r="AJ259" s="302"/>
      <c r="AK259" s="302"/>
      <c r="AL259" s="302"/>
      <c r="AM259" s="302"/>
      <c r="AN259" s="302"/>
      <c r="AO259" s="302"/>
      <c r="AP259" s="302"/>
      <c r="AQ259" s="302"/>
      <c r="AR259" s="302"/>
      <c r="AS259" s="302"/>
      <c r="AT259" s="302"/>
      <c r="AU259" s="302"/>
      <c r="AV259" s="302"/>
      <c r="AW259" s="302"/>
      <c r="AX259" s="302"/>
      <c r="AY259" s="302"/>
      <c r="AZ259" s="302"/>
      <c r="BA259" s="302"/>
      <c r="BB259" s="302"/>
      <c r="BC259" s="302"/>
      <c r="BD259" s="302"/>
      <c r="BE259" s="302"/>
      <c r="BF259" s="302"/>
      <c r="BG259" s="302"/>
      <c r="BH259" s="302"/>
      <c r="BI259" s="302"/>
      <c r="BJ259" s="302"/>
      <c r="BK259" s="302"/>
      <c r="BL259" s="302"/>
      <c r="BM259" s="302"/>
      <c r="BN259" s="302"/>
      <c r="BO259" s="302"/>
      <c r="BP259" s="302"/>
      <c r="BQ259" s="302"/>
      <c r="BR259" s="302"/>
      <c r="BS259" s="302"/>
      <c r="BT259" s="302"/>
      <c r="BU259" s="302"/>
    </row>
    <row r="260" spans="1:73">
      <c r="A260" s="465">
        <v>750</v>
      </c>
      <c r="B260" s="466"/>
      <c r="C260" s="466">
        <v>375</v>
      </c>
      <c r="D260" s="466">
        <f t="shared" si="112"/>
        <v>750</v>
      </c>
      <c r="E260" s="466"/>
      <c r="F260" s="466">
        <v>1100</v>
      </c>
      <c r="G260" s="466"/>
      <c r="H260" s="466"/>
      <c r="I260" s="466">
        <f t="shared" si="113"/>
        <v>2225</v>
      </c>
      <c r="J260" s="466">
        <f t="shared" si="114"/>
        <v>2600</v>
      </c>
      <c r="K260" s="467">
        <v>2400</v>
      </c>
      <c r="L260" s="464">
        <v>2700</v>
      </c>
      <c r="U260" s="447"/>
      <c r="V260" s="302"/>
      <c r="W260" s="302"/>
      <c r="X260" s="302"/>
      <c r="Y260" s="302"/>
      <c r="Z260" s="302"/>
      <c r="AA260" s="302"/>
      <c r="AB260" s="302"/>
      <c r="AC260" s="302"/>
      <c r="AD260" s="302"/>
      <c r="AE260" s="302"/>
      <c r="AF260" s="302"/>
      <c r="AG260" s="302"/>
      <c r="AH260" s="302"/>
      <c r="AI260" s="302"/>
      <c r="AJ260" s="302"/>
      <c r="AK260" s="302"/>
      <c r="AL260" s="302"/>
      <c r="AM260" s="302"/>
      <c r="AN260" s="302"/>
      <c r="AO260" s="302"/>
      <c r="AP260" s="302"/>
      <c r="AQ260" s="302"/>
      <c r="AR260" s="302"/>
      <c r="AS260" s="302"/>
      <c r="AT260" s="302"/>
      <c r="AU260" s="302"/>
      <c r="AV260" s="302"/>
      <c r="AW260" s="302"/>
      <c r="AX260" s="302"/>
      <c r="AY260" s="302"/>
      <c r="AZ260" s="302"/>
      <c r="BA260" s="302"/>
      <c r="BB260" s="302"/>
      <c r="BC260" s="302"/>
      <c r="BD260" s="302"/>
      <c r="BE260" s="302"/>
      <c r="BF260" s="302"/>
      <c r="BG260" s="302"/>
      <c r="BH260" s="302"/>
      <c r="BI260" s="302"/>
      <c r="BJ260" s="302"/>
      <c r="BK260" s="302"/>
      <c r="BL260" s="302"/>
      <c r="BM260" s="302"/>
      <c r="BN260" s="302"/>
      <c r="BO260" s="302"/>
      <c r="BP260" s="302"/>
      <c r="BQ260" s="302"/>
      <c r="BR260" s="302"/>
      <c r="BS260" s="302"/>
      <c r="BT260" s="302"/>
      <c r="BU260" s="302"/>
    </row>
    <row r="261" spans="1:73">
      <c r="A261" s="465">
        <v>900</v>
      </c>
      <c r="B261" s="466"/>
      <c r="C261" s="466">
        <v>375</v>
      </c>
      <c r="D261" s="466">
        <f t="shared" si="112"/>
        <v>750</v>
      </c>
      <c r="E261" s="466"/>
      <c r="F261" s="466">
        <v>1100</v>
      </c>
      <c r="G261" s="466"/>
      <c r="H261" s="466"/>
      <c r="I261" s="466">
        <f t="shared" si="113"/>
        <v>2375</v>
      </c>
      <c r="J261" s="466">
        <f t="shared" si="114"/>
        <v>2750</v>
      </c>
      <c r="K261" s="467">
        <v>2400</v>
      </c>
      <c r="L261" s="468">
        <v>3000</v>
      </c>
      <c r="U261" s="447"/>
      <c r="V261" s="302"/>
      <c r="W261" s="302"/>
      <c r="X261" s="302"/>
      <c r="Y261" s="302"/>
      <c r="Z261" s="302"/>
      <c r="AA261" s="302"/>
      <c r="AB261" s="302"/>
      <c r="AC261" s="302"/>
      <c r="AD261" s="302"/>
      <c r="AE261" s="302"/>
      <c r="AF261" s="302"/>
      <c r="AG261" s="302"/>
      <c r="AH261" s="302"/>
      <c r="AI261" s="302"/>
      <c r="AJ261" s="302"/>
      <c r="AK261" s="302"/>
      <c r="AL261" s="302"/>
      <c r="AM261" s="302"/>
      <c r="AN261" s="302"/>
      <c r="AO261" s="302"/>
      <c r="AP261" s="302"/>
      <c r="AQ261" s="302"/>
      <c r="AR261" s="302"/>
      <c r="AS261" s="302"/>
      <c r="AT261" s="302"/>
      <c r="AU261" s="302"/>
      <c r="AV261" s="302"/>
      <c r="AW261" s="302"/>
      <c r="AX261" s="302"/>
      <c r="AY261" s="302"/>
      <c r="AZ261" s="302"/>
      <c r="BA261" s="302"/>
      <c r="BB261" s="302"/>
      <c r="BC261" s="302"/>
      <c r="BD261" s="302"/>
      <c r="BE261" s="302"/>
      <c r="BF261" s="302"/>
      <c r="BG261" s="302"/>
      <c r="BH261" s="302"/>
      <c r="BI261" s="302"/>
      <c r="BJ261" s="302"/>
      <c r="BK261" s="302"/>
      <c r="BL261" s="302"/>
      <c r="BM261" s="302"/>
      <c r="BN261" s="302"/>
      <c r="BO261" s="302"/>
      <c r="BP261" s="302"/>
      <c r="BQ261" s="302"/>
      <c r="BR261" s="302"/>
      <c r="BS261" s="302"/>
      <c r="BT261" s="302"/>
      <c r="BU261" s="302"/>
    </row>
    <row r="262" spans="1:73">
      <c r="A262" s="469">
        <v>1050</v>
      </c>
      <c r="B262" s="470"/>
      <c r="C262" s="470">
        <v>375</v>
      </c>
      <c r="D262" s="470">
        <f t="shared" si="112"/>
        <v>750</v>
      </c>
      <c r="E262" s="470"/>
      <c r="F262" s="470">
        <v>1100</v>
      </c>
      <c r="G262" s="470"/>
      <c r="H262" s="470"/>
      <c r="I262" s="470">
        <f t="shared" si="113"/>
        <v>2525</v>
      </c>
      <c r="J262" s="470">
        <f t="shared" si="114"/>
        <v>2900</v>
      </c>
      <c r="K262" s="464">
        <v>2700</v>
      </c>
      <c r="L262" s="468">
        <v>3000</v>
      </c>
      <c r="U262" s="447"/>
      <c r="V262" s="302"/>
      <c r="W262" s="302"/>
      <c r="X262" s="302"/>
      <c r="Y262" s="302"/>
      <c r="Z262" s="302"/>
      <c r="AA262" s="302"/>
      <c r="AB262" s="302"/>
      <c r="AC262" s="302"/>
      <c r="AD262" s="302"/>
      <c r="AE262" s="302"/>
      <c r="AF262" s="302"/>
      <c r="AG262" s="302"/>
      <c r="AH262" s="302"/>
      <c r="AI262" s="302"/>
      <c r="AJ262" s="302"/>
      <c r="AK262" s="302"/>
      <c r="AL262" s="302"/>
      <c r="AM262" s="302"/>
      <c r="AN262" s="302"/>
      <c r="AO262" s="302"/>
      <c r="AP262" s="302"/>
      <c r="AQ262" s="302"/>
      <c r="AR262" s="302"/>
      <c r="AS262" s="302"/>
      <c r="AT262" s="302"/>
      <c r="AU262" s="302"/>
      <c r="AV262" s="302"/>
      <c r="AW262" s="302"/>
      <c r="AX262" s="302"/>
      <c r="AY262" s="302"/>
      <c r="AZ262" s="302"/>
      <c r="BA262" s="302"/>
      <c r="BB262" s="302"/>
      <c r="BC262" s="302"/>
      <c r="BD262" s="302"/>
      <c r="BE262" s="302"/>
      <c r="BF262" s="302"/>
      <c r="BG262" s="302"/>
      <c r="BH262" s="302"/>
      <c r="BI262" s="302"/>
      <c r="BJ262" s="302"/>
      <c r="BK262" s="302"/>
      <c r="BL262" s="302"/>
      <c r="BM262" s="302"/>
      <c r="BN262" s="302"/>
      <c r="BO262" s="302"/>
      <c r="BP262" s="302"/>
      <c r="BQ262" s="302"/>
      <c r="BR262" s="302"/>
      <c r="BS262" s="302"/>
      <c r="BT262" s="302"/>
      <c r="BU262" s="302"/>
    </row>
    <row r="263" spans="1:73">
      <c r="A263" s="469">
        <v>1200</v>
      </c>
      <c r="B263" s="470"/>
      <c r="C263" s="470">
        <v>375</v>
      </c>
      <c r="D263" s="470">
        <f t="shared" si="112"/>
        <v>750</v>
      </c>
      <c r="E263" s="470"/>
      <c r="F263" s="470">
        <v>1100</v>
      </c>
      <c r="G263" s="470"/>
      <c r="H263" s="470"/>
      <c r="I263" s="470">
        <f t="shared" si="113"/>
        <v>2675</v>
      </c>
      <c r="J263" s="470">
        <f t="shared" si="114"/>
        <v>3050</v>
      </c>
      <c r="K263" s="464">
        <v>2700</v>
      </c>
      <c r="L263" s="468">
        <v>3000</v>
      </c>
      <c r="U263" s="447"/>
      <c r="V263" s="302"/>
      <c r="W263" s="302"/>
      <c r="X263" s="302"/>
      <c r="Y263" s="302"/>
      <c r="Z263" s="302"/>
      <c r="AA263" s="302"/>
      <c r="AB263" s="302"/>
      <c r="AC263" s="302"/>
      <c r="AD263" s="302"/>
      <c r="AE263" s="302"/>
      <c r="AF263" s="302"/>
      <c r="AG263" s="302"/>
      <c r="AH263" s="302"/>
      <c r="AI263" s="302"/>
      <c r="AJ263" s="302"/>
      <c r="AK263" s="302"/>
      <c r="AL263" s="302"/>
      <c r="AM263" s="302"/>
      <c r="AN263" s="302"/>
      <c r="AO263" s="302"/>
      <c r="AP263" s="302"/>
      <c r="AQ263" s="302"/>
      <c r="AR263" s="302"/>
      <c r="AS263" s="302"/>
      <c r="AT263" s="302"/>
      <c r="AU263" s="302"/>
      <c r="AV263" s="302"/>
      <c r="AW263" s="302"/>
      <c r="AX263" s="302"/>
      <c r="AY263" s="302"/>
      <c r="AZ263" s="302"/>
      <c r="BA263" s="302"/>
      <c r="BB263" s="302"/>
      <c r="BC263" s="302"/>
      <c r="BD263" s="302"/>
      <c r="BE263" s="302"/>
      <c r="BF263" s="302"/>
      <c r="BG263" s="302"/>
      <c r="BH263" s="302"/>
      <c r="BI263" s="302"/>
      <c r="BJ263" s="302"/>
      <c r="BK263" s="302"/>
      <c r="BL263" s="302"/>
      <c r="BM263" s="302"/>
      <c r="BN263" s="302"/>
      <c r="BO263" s="302"/>
      <c r="BP263" s="302"/>
      <c r="BQ263" s="302"/>
      <c r="BR263" s="302"/>
      <c r="BS263" s="302"/>
      <c r="BT263" s="302"/>
      <c r="BU263" s="302"/>
    </row>
    <row r="264" spans="1:73">
      <c r="A264" s="471">
        <v>1350</v>
      </c>
      <c r="B264" s="472"/>
      <c r="C264" s="472">
        <v>375</v>
      </c>
      <c r="D264" s="472">
        <f t="shared" si="112"/>
        <v>750</v>
      </c>
      <c r="E264" s="472"/>
      <c r="F264" s="472">
        <v>1100</v>
      </c>
      <c r="G264" s="472"/>
      <c r="H264" s="472"/>
      <c r="I264" s="472">
        <f t="shared" si="113"/>
        <v>2825</v>
      </c>
      <c r="J264" s="472">
        <f t="shared" si="114"/>
        <v>3200</v>
      </c>
      <c r="K264" s="468">
        <v>3000</v>
      </c>
      <c r="L264" s="468">
        <v>3000</v>
      </c>
      <c r="U264" s="447"/>
      <c r="V264" s="302"/>
      <c r="W264" s="302"/>
      <c r="X264" s="302"/>
      <c r="Y264" s="302"/>
      <c r="Z264" s="302"/>
      <c r="AA264" s="302"/>
      <c r="AB264" s="302"/>
      <c r="AC264" s="302"/>
      <c r="AD264" s="302"/>
      <c r="AE264" s="302"/>
      <c r="AF264" s="302"/>
      <c r="AG264" s="302"/>
      <c r="AH264" s="302"/>
      <c r="AI264" s="302"/>
      <c r="AJ264" s="302"/>
      <c r="AK264" s="302"/>
      <c r="AL264" s="302"/>
      <c r="AM264" s="302"/>
      <c r="AN264" s="302"/>
      <c r="AO264" s="302"/>
      <c r="AP264" s="302"/>
      <c r="AQ264" s="302"/>
      <c r="AR264" s="302"/>
      <c r="AS264" s="302"/>
      <c r="AT264" s="302"/>
      <c r="AU264" s="302"/>
      <c r="AV264" s="302"/>
      <c r="AW264" s="302"/>
      <c r="AX264" s="302"/>
      <c r="AY264" s="302"/>
      <c r="AZ264" s="302"/>
      <c r="BA264" s="302"/>
      <c r="BB264" s="302"/>
      <c r="BC264" s="302"/>
      <c r="BD264" s="302"/>
      <c r="BE264" s="302"/>
      <c r="BF264" s="302"/>
      <c r="BG264" s="302"/>
      <c r="BH264" s="302"/>
      <c r="BI264" s="302"/>
      <c r="BJ264" s="302"/>
      <c r="BK264" s="302"/>
      <c r="BL264" s="302"/>
      <c r="BM264" s="302"/>
      <c r="BN264" s="302"/>
      <c r="BO264" s="302"/>
      <c r="BP264" s="302"/>
      <c r="BQ264" s="302"/>
      <c r="BR264" s="302"/>
      <c r="BS264" s="302"/>
      <c r="BT264" s="302"/>
      <c r="BU264" s="302"/>
    </row>
    <row r="265" spans="1:73" ht="14" thickBot="1">
      <c r="A265" s="473"/>
      <c r="B265" s="474"/>
      <c r="C265" s="474"/>
      <c r="D265" s="474"/>
      <c r="E265" s="474"/>
      <c r="F265" s="474"/>
      <c r="G265" s="474"/>
      <c r="H265" s="474"/>
      <c r="I265" s="474"/>
      <c r="J265" s="474"/>
      <c r="K265" s="474"/>
      <c r="L265" s="474"/>
      <c r="M265" s="474"/>
      <c r="N265" s="474"/>
      <c r="O265" s="474"/>
      <c r="P265" s="474"/>
      <c r="Q265" s="474"/>
      <c r="R265" s="474"/>
      <c r="S265" s="474"/>
      <c r="T265" s="474"/>
      <c r="U265" s="475"/>
      <c r="V265" s="302"/>
      <c r="W265" s="302"/>
      <c r="X265" s="302"/>
      <c r="Y265" s="302"/>
      <c r="Z265" s="302"/>
      <c r="AA265" s="302"/>
      <c r="AB265" s="302"/>
      <c r="AC265" s="302"/>
      <c r="AD265" s="302"/>
      <c r="AE265" s="302"/>
      <c r="AF265" s="302"/>
      <c r="AG265" s="302"/>
      <c r="AH265" s="302"/>
      <c r="AI265" s="302"/>
      <c r="AJ265" s="302"/>
      <c r="AK265" s="302"/>
      <c r="AL265" s="302"/>
      <c r="AM265" s="302"/>
      <c r="AN265" s="302"/>
      <c r="AO265" s="302"/>
      <c r="AP265" s="302"/>
      <c r="AQ265" s="302"/>
      <c r="AR265" s="302"/>
      <c r="AS265" s="302"/>
      <c r="AT265" s="302"/>
      <c r="AU265" s="302"/>
      <c r="AV265" s="302"/>
      <c r="AW265" s="302"/>
      <c r="AX265" s="302"/>
      <c r="AY265" s="302"/>
      <c r="AZ265" s="302"/>
      <c r="BA265" s="302"/>
      <c r="BB265" s="302"/>
      <c r="BC265" s="302"/>
      <c r="BD265" s="302"/>
      <c r="BE265" s="302"/>
      <c r="BF265" s="302"/>
      <c r="BG265" s="302"/>
      <c r="BH265" s="302"/>
      <c r="BI265" s="302"/>
      <c r="BJ265" s="302"/>
      <c r="BK265" s="302"/>
      <c r="BL265" s="302"/>
      <c r="BM265" s="302"/>
      <c r="BN265" s="302"/>
      <c r="BO265" s="302"/>
      <c r="BP265" s="302"/>
      <c r="BQ265" s="302"/>
      <c r="BR265" s="302"/>
      <c r="BS265" s="302"/>
      <c r="BT265" s="302"/>
      <c r="BU265" s="302"/>
    </row>
    <row r="266" spans="1:73">
      <c r="A266" s="302"/>
      <c r="B266" s="302"/>
      <c r="C266" s="302"/>
      <c r="D266" s="302"/>
      <c r="E266" s="302"/>
      <c r="F266" s="302"/>
      <c r="G266" s="302"/>
      <c r="H266" s="302"/>
      <c r="I266" s="302"/>
      <c r="J266" s="302"/>
      <c r="K266" s="302"/>
      <c r="L266" s="302"/>
      <c r="M266" s="302"/>
      <c r="N266" s="302"/>
      <c r="O266" s="302"/>
      <c r="P266" s="302"/>
      <c r="Q266" s="302"/>
      <c r="R266" s="302"/>
      <c r="S266" s="302"/>
      <c r="T266" s="302"/>
      <c r="U266" s="302"/>
      <c r="V266" s="302"/>
      <c r="W266" s="302"/>
      <c r="X266" s="302"/>
      <c r="Y266" s="302"/>
      <c r="Z266" s="302"/>
      <c r="AA266" s="302"/>
      <c r="AB266" s="302"/>
      <c r="AC266" s="302"/>
      <c r="AD266" s="302"/>
      <c r="AE266" s="302"/>
      <c r="AF266" s="302"/>
      <c r="AG266" s="302"/>
      <c r="AH266" s="302"/>
      <c r="AI266" s="302"/>
      <c r="AJ266" s="302"/>
      <c r="AK266" s="302"/>
      <c r="AL266" s="302"/>
      <c r="AM266" s="302"/>
      <c r="AN266" s="302"/>
      <c r="AO266" s="302"/>
      <c r="AP266" s="302"/>
      <c r="AQ266" s="302"/>
      <c r="AR266" s="302"/>
      <c r="AS266" s="302"/>
      <c r="AT266" s="302"/>
      <c r="AU266" s="302"/>
      <c r="AV266" s="302"/>
      <c r="AW266" s="302"/>
      <c r="AX266" s="302"/>
      <c r="AY266" s="302"/>
      <c r="AZ266" s="302"/>
      <c r="BA266" s="302"/>
      <c r="BB266" s="302"/>
      <c r="BC266" s="302"/>
      <c r="BD266" s="302"/>
      <c r="BE266" s="302"/>
      <c r="BF266" s="302"/>
      <c r="BG266" s="302"/>
      <c r="BH266" s="302"/>
      <c r="BI266" s="302"/>
      <c r="BJ266" s="302"/>
      <c r="BK266" s="302"/>
      <c r="BL266" s="302"/>
      <c r="BM266" s="302"/>
      <c r="BN266" s="302"/>
      <c r="BO266" s="302"/>
      <c r="BP266" s="302"/>
      <c r="BQ266" s="302"/>
      <c r="BR266" s="302"/>
      <c r="BS266" s="302"/>
      <c r="BT266" s="302"/>
      <c r="BU266" s="302"/>
    </row>
    <row r="267" spans="1:73">
      <c r="A267" s="302"/>
      <c r="B267" s="302"/>
      <c r="C267" s="302"/>
      <c r="D267" s="302"/>
      <c r="E267" s="302"/>
      <c r="F267" s="302"/>
      <c r="G267" s="302"/>
      <c r="H267" s="302"/>
      <c r="I267" s="302"/>
      <c r="J267" s="302"/>
      <c r="K267" s="302"/>
      <c r="L267" s="302"/>
      <c r="M267" s="302"/>
      <c r="N267" s="302"/>
      <c r="O267" s="302"/>
      <c r="P267" s="302"/>
      <c r="Q267" s="302"/>
      <c r="R267" s="302"/>
      <c r="S267" s="302"/>
      <c r="T267" s="302"/>
      <c r="U267" s="302"/>
      <c r="V267" s="302"/>
      <c r="W267" s="302"/>
      <c r="X267" s="302"/>
      <c r="Y267" s="302"/>
      <c r="Z267" s="302"/>
      <c r="AA267" s="302"/>
      <c r="AB267" s="302"/>
      <c r="AC267" s="302"/>
      <c r="AD267" s="302"/>
      <c r="AE267" s="302"/>
      <c r="AF267" s="302"/>
      <c r="AG267" s="302"/>
      <c r="AH267" s="302"/>
      <c r="AI267" s="302"/>
      <c r="AJ267" s="302"/>
      <c r="AK267" s="302"/>
      <c r="AL267" s="302"/>
      <c r="AM267" s="302"/>
      <c r="AN267" s="302"/>
      <c r="AO267" s="302"/>
      <c r="AP267" s="302"/>
      <c r="AQ267" s="302"/>
      <c r="AR267" s="302"/>
      <c r="AS267" s="302"/>
      <c r="AT267" s="302"/>
      <c r="AU267" s="302"/>
      <c r="AV267" s="302"/>
      <c r="AW267" s="302"/>
      <c r="AX267" s="302"/>
      <c r="AY267" s="302"/>
      <c r="AZ267" s="302"/>
      <c r="BA267" s="302"/>
      <c r="BB267" s="302"/>
      <c r="BC267" s="302"/>
      <c r="BD267" s="302"/>
      <c r="BE267" s="302"/>
      <c r="BF267" s="302"/>
      <c r="BG267" s="302"/>
      <c r="BH267" s="302"/>
      <c r="BI267" s="302"/>
      <c r="BJ267" s="302"/>
      <c r="BK267" s="302"/>
      <c r="BL267" s="302"/>
      <c r="BM267" s="302"/>
      <c r="BN267" s="302"/>
      <c r="BO267" s="302"/>
      <c r="BP267" s="302"/>
      <c r="BQ267" s="302"/>
      <c r="BR267" s="302"/>
      <c r="BS267" s="302"/>
      <c r="BT267" s="302"/>
      <c r="BU267" s="302"/>
    </row>
    <row r="268" spans="1:73">
      <c r="A268" s="302"/>
      <c r="B268" s="302"/>
      <c r="C268" s="1189" t="s">
        <v>483</v>
      </c>
      <c r="D268" s="1189"/>
      <c r="E268" s="302"/>
      <c r="F268" s="302"/>
      <c r="G268" s="302"/>
      <c r="H268" s="302"/>
      <c r="I268" s="302"/>
      <c r="J268" s="302"/>
      <c r="K268" s="302"/>
      <c r="L268" s="302"/>
      <c r="M268" s="302"/>
      <c r="N268" s="302"/>
      <c r="O268" s="302"/>
      <c r="P268" s="302"/>
      <c r="Q268" s="302"/>
      <c r="R268" s="302"/>
      <c r="S268" s="302"/>
      <c r="T268" s="302"/>
      <c r="U268" s="302"/>
      <c r="V268" s="302"/>
      <c r="W268" s="302"/>
      <c r="X268" s="302"/>
      <c r="Y268" s="302"/>
      <c r="Z268" s="302"/>
      <c r="AA268" s="302"/>
      <c r="AB268" s="302"/>
      <c r="AC268" s="302"/>
      <c r="AD268" s="302"/>
      <c r="AE268" s="302"/>
      <c r="AF268" s="302"/>
      <c r="AG268" s="302"/>
      <c r="AH268" s="302"/>
      <c r="AI268" s="302"/>
      <c r="AJ268" s="302"/>
      <c r="AK268" s="302"/>
      <c r="AL268" s="302"/>
      <c r="AM268" s="302"/>
      <c r="AN268" s="302"/>
      <c r="AO268" s="302"/>
      <c r="AP268" s="302"/>
      <c r="AQ268" s="302"/>
      <c r="AR268" s="302"/>
      <c r="AS268" s="302"/>
      <c r="AT268" s="302"/>
      <c r="AU268" s="302"/>
      <c r="AV268" s="302"/>
      <c r="AW268" s="302"/>
      <c r="AX268" s="302"/>
      <c r="AY268" s="302"/>
      <c r="AZ268" s="302"/>
      <c r="BA268" s="302"/>
      <c r="BB268" s="302"/>
      <c r="BC268" s="302"/>
      <c r="BD268" s="302"/>
      <c r="BE268" s="302"/>
      <c r="BF268" s="302"/>
      <c r="BG268" s="302"/>
      <c r="BH268" s="302"/>
      <c r="BI268" s="302"/>
      <c r="BJ268" s="302"/>
      <c r="BK268" s="302"/>
      <c r="BL268" s="302"/>
      <c r="BM268" s="302"/>
      <c r="BN268" s="302"/>
      <c r="BO268" s="302"/>
      <c r="BP268" s="302"/>
      <c r="BQ268" s="302"/>
      <c r="BR268" s="302"/>
      <c r="BS268" s="302"/>
      <c r="BT268" s="302"/>
      <c r="BU268" s="302"/>
    </row>
    <row r="269" spans="1:73">
      <c r="A269" s="302"/>
      <c r="B269" s="302"/>
      <c r="C269" s="307">
        <v>43438</v>
      </c>
      <c r="D269" s="302"/>
      <c r="E269" s="302"/>
      <c r="F269" s="302"/>
      <c r="G269" s="302"/>
      <c r="H269" s="302"/>
      <c r="I269" s="302"/>
      <c r="J269" s="302"/>
      <c r="K269" s="302"/>
      <c r="L269" s="302"/>
      <c r="M269" s="302"/>
      <c r="N269" s="302"/>
      <c r="O269" s="302"/>
      <c r="P269" s="302"/>
      <c r="Q269" s="302"/>
      <c r="R269" s="302"/>
      <c r="S269" s="302"/>
      <c r="T269" s="302"/>
      <c r="U269" s="302"/>
      <c r="V269" s="302"/>
      <c r="W269" s="302"/>
      <c r="X269" s="302"/>
      <c r="Y269" s="302"/>
      <c r="Z269" s="302"/>
      <c r="AA269" s="302"/>
      <c r="AB269" s="302"/>
      <c r="AC269" s="302"/>
      <c r="AD269" s="302"/>
      <c r="AE269" s="302"/>
      <c r="AF269" s="302"/>
      <c r="AG269" s="302"/>
      <c r="AH269" s="302"/>
      <c r="AI269" s="302"/>
      <c r="AJ269" s="302"/>
      <c r="AK269" s="302"/>
      <c r="AL269" s="302"/>
      <c r="AM269" s="302"/>
      <c r="AN269" s="302"/>
      <c r="AO269" s="302"/>
      <c r="AP269" s="302"/>
      <c r="AQ269" s="302"/>
      <c r="AR269" s="302"/>
      <c r="AS269" s="302"/>
      <c r="AT269" s="302"/>
      <c r="AU269" s="302"/>
      <c r="AV269" s="302"/>
      <c r="AW269" s="302"/>
      <c r="AX269" s="302"/>
      <c r="AY269" s="302"/>
      <c r="AZ269" s="302"/>
      <c r="BA269" s="302"/>
      <c r="BB269" s="302"/>
      <c r="BC269" s="302"/>
      <c r="BD269" s="302"/>
      <c r="BE269" s="302"/>
      <c r="BF269" s="302"/>
      <c r="BG269" s="302"/>
      <c r="BH269" s="302"/>
      <c r="BI269" s="302"/>
      <c r="BJ269" s="302"/>
      <c r="BK269" s="302"/>
      <c r="BL269" s="302"/>
      <c r="BM269" s="302"/>
      <c r="BN269" s="302"/>
      <c r="BO269" s="302"/>
      <c r="BP269" s="302"/>
      <c r="BQ269" s="302"/>
      <c r="BR269" s="302"/>
      <c r="BS269" s="302"/>
      <c r="BT269" s="302"/>
      <c r="BU269" s="302"/>
    </row>
    <row r="270" spans="1:73">
      <c r="A270" s="302"/>
      <c r="B270" s="302"/>
      <c r="C270" s="302"/>
      <c r="D270" s="302"/>
      <c r="E270" s="302"/>
      <c r="F270" s="302"/>
      <c r="G270" s="302"/>
      <c r="H270" s="302"/>
      <c r="I270" s="302"/>
      <c r="J270" s="302"/>
      <c r="K270" s="302"/>
      <c r="L270" s="302"/>
      <c r="M270" s="302"/>
      <c r="N270" s="302"/>
      <c r="O270" s="302"/>
      <c r="P270" s="302"/>
      <c r="Q270" s="302"/>
      <c r="R270" s="302"/>
      <c r="S270" s="302"/>
      <c r="T270" s="302"/>
      <c r="U270" s="302"/>
      <c r="V270" s="302"/>
      <c r="W270" s="302"/>
      <c r="X270" s="302"/>
      <c r="Y270" s="302"/>
      <c r="Z270" s="302"/>
      <c r="AA270" s="302"/>
      <c r="AB270" s="302"/>
      <c r="AC270" s="302"/>
      <c r="AD270" s="302"/>
      <c r="AE270" s="302"/>
      <c r="AF270" s="302"/>
      <c r="AG270" s="302"/>
      <c r="AH270" s="302"/>
      <c r="AI270" s="302"/>
      <c r="AJ270" s="302"/>
      <c r="AK270" s="302"/>
      <c r="AL270" s="302"/>
      <c r="AM270" s="302"/>
      <c r="AN270" s="302"/>
      <c r="AO270" s="302"/>
      <c r="AP270" s="302"/>
      <c r="AQ270" s="302"/>
      <c r="AR270" s="302"/>
      <c r="AS270" s="302"/>
      <c r="AT270" s="302"/>
      <c r="AU270" s="302"/>
      <c r="AV270" s="302"/>
      <c r="AW270" s="302"/>
      <c r="AX270" s="302"/>
      <c r="AY270" s="302"/>
      <c r="AZ270" s="302"/>
      <c r="BA270" s="302"/>
      <c r="BB270" s="302"/>
      <c r="BC270" s="302"/>
      <c r="BD270" s="302"/>
      <c r="BE270" s="302"/>
      <c r="BF270" s="302"/>
      <c r="BG270" s="302"/>
      <c r="BH270" s="302"/>
      <c r="BI270" s="302"/>
      <c r="BJ270" s="302"/>
      <c r="BK270" s="302"/>
      <c r="BL270" s="302"/>
      <c r="BM270" s="302"/>
      <c r="BN270" s="302"/>
      <c r="BO270" s="302"/>
      <c r="BP270" s="302"/>
      <c r="BQ270" s="302"/>
      <c r="BR270" s="302"/>
      <c r="BS270" s="302"/>
      <c r="BT270" s="302"/>
      <c r="BU270" s="302"/>
    </row>
    <row r="271" spans="1:73">
      <c r="A271" s="302"/>
      <c r="B271" s="305"/>
      <c r="C271" s="305" t="s">
        <v>378</v>
      </c>
      <c r="D271" s="305"/>
      <c r="E271" s="305"/>
      <c r="F271" s="305"/>
      <c r="G271" s="305"/>
      <c r="H271" s="305"/>
      <c r="I271" s="305"/>
      <c r="J271" s="305"/>
      <c r="K271" s="305"/>
      <c r="L271" s="305"/>
      <c r="M271" s="305"/>
      <c r="N271" s="305"/>
      <c r="O271" s="305"/>
      <c r="P271" s="305"/>
      <c r="Q271" s="305"/>
      <c r="R271" s="305"/>
      <c r="S271" s="305"/>
      <c r="T271" s="305"/>
      <c r="U271" s="305"/>
      <c r="V271" s="305"/>
      <c r="W271" s="305"/>
      <c r="X271" s="305"/>
      <c r="Y271" s="305"/>
      <c r="Z271" s="305"/>
      <c r="AA271" s="305"/>
      <c r="AB271" s="305"/>
      <c r="AC271" s="305"/>
      <c r="AD271" s="305"/>
      <c r="AE271" s="305" t="s">
        <v>44</v>
      </c>
      <c r="AF271" s="305"/>
      <c r="AG271" s="305"/>
      <c r="AH271" s="305"/>
      <c r="AI271" s="305"/>
      <c r="AJ271" s="305"/>
      <c r="AK271" s="305"/>
      <c r="AL271" s="305"/>
      <c r="AM271" s="305"/>
      <c r="AN271" s="305"/>
      <c r="AO271" s="305"/>
      <c r="AP271" s="305"/>
      <c r="AQ271" s="305"/>
      <c r="AR271" s="305"/>
      <c r="AS271" s="305"/>
      <c r="AT271" s="305"/>
      <c r="AU271" s="305"/>
      <c r="AV271" s="305"/>
      <c r="AW271" s="305"/>
      <c r="AX271" s="305"/>
      <c r="AY271" s="305"/>
      <c r="AZ271" s="305"/>
      <c r="BA271" s="302"/>
      <c r="BB271" s="302"/>
      <c r="BC271" s="302"/>
      <c r="BD271" s="302"/>
      <c r="BE271" s="302"/>
      <c r="BF271" s="302"/>
      <c r="BG271" s="302"/>
      <c r="BH271" s="302"/>
      <c r="BI271" s="302"/>
      <c r="BJ271" s="302"/>
      <c r="BK271" s="302"/>
      <c r="BL271" s="302"/>
      <c r="BM271" s="302"/>
      <c r="BN271" s="302"/>
      <c r="BO271" s="302"/>
      <c r="BP271" s="302"/>
      <c r="BQ271" s="302"/>
      <c r="BR271" s="302"/>
      <c r="BS271" s="302"/>
      <c r="BT271" s="302"/>
      <c r="BU271" s="302"/>
    </row>
    <row r="272" spans="1:73">
      <c r="A272" s="302"/>
      <c r="B272" s="305"/>
      <c r="C272" s="308" t="s">
        <v>45</v>
      </c>
      <c r="D272" s="305"/>
      <c r="E272" s="305"/>
      <c r="F272" s="305"/>
      <c r="G272" s="305"/>
      <c r="H272" s="305"/>
      <c r="I272" s="305"/>
      <c r="J272" s="305"/>
      <c r="K272" s="305"/>
      <c r="L272" s="305"/>
      <c r="M272" s="305"/>
      <c r="N272" s="305"/>
      <c r="O272" s="305"/>
      <c r="P272" s="305"/>
      <c r="Q272" s="305"/>
      <c r="R272" s="305"/>
      <c r="S272" s="305"/>
      <c r="T272" s="305"/>
      <c r="U272" s="305"/>
      <c r="V272" s="305"/>
      <c r="W272" s="305"/>
      <c r="X272" s="305"/>
      <c r="Y272" s="305"/>
      <c r="Z272" s="305"/>
      <c r="AA272" s="305"/>
      <c r="AB272" s="305"/>
      <c r="AC272" s="305"/>
      <c r="AD272" s="305"/>
      <c r="AE272" s="305" t="s">
        <v>46</v>
      </c>
      <c r="AF272" s="305"/>
      <c r="AG272" s="305"/>
      <c r="AH272" s="305"/>
      <c r="AI272" s="305"/>
      <c r="AJ272" s="305"/>
      <c r="AK272" s="305"/>
      <c r="AL272" s="305"/>
      <c r="AM272" s="305"/>
      <c r="AN272" s="305"/>
      <c r="AO272" s="305"/>
      <c r="AP272" s="305"/>
      <c r="AQ272" s="305"/>
      <c r="AR272" s="305"/>
      <c r="AS272" s="305"/>
      <c r="AT272" s="305"/>
      <c r="AU272" s="305"/>
      <c r="AV272" s="305"/>
      <c r="AW272" s="305"/>
      <c r="AX272" s="305"/>
      <c r="AY272" s="305"/>
      <c r="AZ272" s="305"/>
      <c r="BA272" s="302"/>
      <c r="BB272" s="302"/>
      <c r="BC272" s="302"/>
      <c r="BD272" s="302"/>
      <c r="BE272" s="302"/>
      <c r="BF272" s="302"/>
      <c r="BG272" s="302"/>
      <c r="BH272" s="302"/>
      <c r="BI272" s="302"/>
      <c r="BJ272" s="302"/>
      <c r="BK272" s="302"/>
      <c r="BL272" s="302"/>
      <c r="BM272" s="302"/>
      <c r="BN272" s="302"/>
      <c r="BO272" s="302"/>
      <c r="BP272" s="302"/>
      <c r="BQ272" s="302"/>
      <c r="BR272" s="302"/>
      <c r="BS272" s="302"/>
      <c r="BT272" s="302"/>
      <c r="BU272" s="302"/>
    </row>
    <row r="273" spans="1:73" ht="14" thickBot="1">
      <c r="A273" s="302"/>
      <c r="B273" s="305"/>
      <c r="C273" s="305" t="s">
        <v>47</v>
      </c>
      <c r="D273" s="305"/>
      <c r="E273" s="305"/>
      <c r="F273" s="305"/>
      <c r="G273" s="305" t="s">
        <v>48</v>
      </c>
      <c r="H273" s="305"/>
      <c r="I273" s="305"/>
      <c r="J273" s="305"/>
      <c r="K273" s="305"/>
      <c r="L273" s="305"/>
      <c r="M273" s="305"/>
      <c r="N273" s="305"/>
      <c r="O273" s="305"/>
      <c r="P273" s="305"/>
      <c r="Q273" s="1186" t="s">
        <v>49</v>
      </c>
      <c r="R273" s="1187"/>
      <c r="S273" s="1187"/>
      <c r="T273" s="1187"/>
      <c r="U273" s="1187"/>
      <c r="V273" s="1187"/>
      <c r="W273" s="1187"/>
      <c r="X273" s="1187"/>
      <c r="Y273" s="1187"/>
      <c r="Z273" s="1187"/>
      <c r="AA273" s="1187"/>
      <c r="AB273" s="1187"/>
      <c r="AC273" s="1187"/>
      <c r="AD273" s="1188"/>
      <c r="AE273" s="313" t="s">
        <v>51</v>
      </c>
      <c r="AF273" s="310" t="s">
        <v>379</v>
      </c>
      <c r="AG273" s="1190" t="s">
        <v>53</v>
      </c>
      <c r="AH273" s="1191"/>
      <c r="AI273" s="1191"/>
      <c r="AJ273" s="1191"/>
      <c r="AK273" s="1191"/>
      <c r="AL273" s="1191"/>
      <c r="AM273" s="1191"/>
      <c r="AN273" s="1191"/>
      <c r="AO273" s="1191"/>
      <c r="AP273" s="1191"/>
      <c r="AQ273" s="1191"/>
      <c r="AR273" s="1191"/>
      <c r="AS273" s="1192"/>
      <c r="AT273" s="476" t="s">
        <v>54</v>
      </c>
      <c r="AU273" s="477"/>
      <c r="AV273" s="477"/>
      <c r="AW273" s="477"/>
      <c r="AX273" s="477"/>
      <c r="AY273" s="477"/>
      <c r="AZ273" s="477"/>
      <c r="BA273" s="477"/>
      <c r="BB273" s="477"/>
      <c r="BC273" s="477"/>
      <c r="BD273" s="477"/>
      <c r="BE273" s="477"/>
      <c r="BF273" s="478"/>
      <c r="BG273" s="1191" t="s">
        <v>55</v>
      </c>
      <c r="BH273" s="1191"/>
      <c r="BI273" s="1191"/>
      <c r="BJ273" s="1191"/>
      <c r="BK273" s="1191"/>
      <c r="BL273" s="1191"/>
      <c r="BM273" s="1191"/>
      <c r="BN273" s="1191"/>
      <c r="BO273" s="1191"/>
      <c r="BP273" s="1191"/>
      <c r="BQ273" s="1191"/>
      <c r="BR273" s="1191"/>
      <c r="BS273" s="1192"/>
      <c r="BT273" s="302"/>
      <c r="BU273" s="302"/>
    </row>
    <row r="274" spans="1:73" ht="14">
      <c r="A274" s="302"/>
      <c r="B274" s="305"/>
      <c r="C274" s="479" t="s">
        <v>16</v>
      </c>
      <c r="D274" s="480" t="s">
        <v>56</v>
      </c>
      <c r="E274" s="480" t="s">
        <v>57</v>
      </c>
      <c r="F274" s="481" t="s">
        <v>37</v>
      </c>
      <c r="G274" s="479" t="s">
        <v>16</v>
      </c>
      <c r="H274" s="480" t="s">
        <v>56</v>
      </c>
      <c r="I274" s="480" t="s">
        <v>57</v>
      </c>
      <c r="J274" s="481" t="s">
        <v>37</v>
      </c>
      <c r="K274" s="482" t="s">
        <v>58</v>
      </c>
      <c r="L274" s="480" t="s">
        <v>38</v>
      </c>
      <c r="M274" s="480" t="s">
        <v>59</v>
      </c>
      <c r="N274" s="479" t="s">
        <v>2</v>
      </c>
      <c r="O274" s="480" t="s">
        <v>380</v>
      </c>
      <c r="P274" s="481" t="s">
        <v>61</v>
      </c>
      <c r="Q274" s="374">
        <v>150</v>
      </c>
      <c r="R274" s="322">
        <v>225</v>
      </c>
      <c r="S274" s="322">
        <v>300</v>
      </c>
      <c r="T274" s="322">
        <v>375</v>
      </c>
      <c r="U274" s="322">
        <v>450</v>
      </c>
      <c r="V274" s="322">
        <v>525</v>
      </c>
      <c r="W274" s="322">
        <v>600</v>
      </c>
      <c r="X274" s="322">
        <v>675</v>
      </c>
      <c r="Y274" s="322">
        <v>750</v>
      </c>
      <c r="Z274" s="322">
        <v>900</v>
      </c>
      <c r="AA274" s="322">
        <v>1050</v>
      </c>
      <c r="AB274" s="322">
        <v>1200</v>
      </c>
      <c r="AC274" s="375">
        <v>1350</v>
      </c>
      <c r="AD274" s="309" t="s">
        <v>141</v>
      </c>
      <c r="AE274" s="322" t="s">
        <v>63</v>
      </c>
      <c r="AF274" s="374" t="s">
        <v>63</v>
      </c>
      <c r="AG274" s="483">
        <v>150</v>
      </c>
      <c r="AH274" s="484">
        <v>225</v>
      </c>
      <c r="AI274" s="484">
        <v>300</v>
      </c>
      <c r="AJ274" s="484">
        <v>375</v>
      </c>
      <c r="AK274" s="484">
        <v>450</v>
      </c>
      <c r="AL274" s="484">
        <v>525</v>
      </c>
      <c r="AM274" s="484">
        <v>600</v>
      </c>
      <c r="AN274" s="484">
        <v>675</v>
      </c>
      <c r="AO274" s="484">
        <v>750</v>
      </c>
      <c r="AP274" s="484">
        <v>900</v>
      </c>
      <c r="AQ274" s="484">
        <v>1050</v>
      </c>
      <c r="AR274" s="484">
        <v>1200</v>
      </c>
      <c r="AS274" s="485">
        <v>1350</v>
      </c>
      <c r="AT274" s="483">
        <v>150</v>
      </c>
      <c r="AU274" s="484">
        <v>225</v>
      </c>
      <c r="AV274" s="484">
        <v>300</v>
      </c>
      <c r="AW274" s="484">
        <v>375</v>
      </c>
      <c r="AX274" s="484">
        <v>450</v>
      </c>
      <c r="AY274" s="484">
        <v>525</v>
      </c>
      <c r="AZ274" s="484">
        <v>600</v>
      </c>
      <c r="BA274" s="484">
        <v>675</v>
      </c>
      <c r="BB274" s="484">
        <v>750</v>
      </c>
      <c r="BC274" s="484">
        <v>900</v>
      </c>
      <c r="BD274" s="484">
        <v>1050</v>
      </c>
      <c r="BE274" s="484">
        <v>1200</v>
      </c>
      <c r="BF274" s="485">
        <v>1350</v>
      </c>
      <c r="BG274" s="486">
        <v>150</v>
      </c>
      <c r="BH274" s="486">
        <v>225</v>
      </c>
      <c r="BI274" s="486">
        <v>300</v>
      </c>
      <c r="BJ274" s="486">
        <v>375</v>
      </c>
      <c r="BK274" s="486">
        <v>450</v>
      </c>
      <c r="BL274" s="486">
        <v>525</v>
      </c>
      <c r="BM274" s="486">
        <v>600</v>
      </c>
      <c r="BN274" s="486">
        <v>675</v>
      </c>
      <c r="BO274" s="486">
        <v>750</v>
      </c>
      <c r="BP274" s="486">
        <v>900</v>
      </c>
      <c r="BQ274" s="486">
        <v>1050</v>
      </c>
      <c r="BR274" s="486">
        <v>1200</v>
      </c>
      <c r="BS274" s="375">
        <v>1350</v>
      </c>
      <c r="BT274" s="302"/>
      <c r="BU274" s="302"/>
    </row>
    <row r="275" spans="1:73">
      <c r="A275" s="302"/>
      <c r="B275" s="302"/>
      <c r="C275" s="329" t="s">
        <v>381</v>
      </c>
      <c r="D275" s="383">
        <v>114.9</v>
      </c>
      <c r="E275" s="383">
        <v>112.42100000000001</v>
      </c>
      <c r="F275" s="487">
        <f t="shared" ref="F275:F302" si="115">D275-E275</f>
        <v>2.4789999999999992</v>
      </c>
      <c r="G275" s="329" t="s">
        <v>382</v>
      </c>
      <c r="H275" s="383">
        <v>115.669</v>
      </c>
      <c r="I275" s="383">
        <v>112.22199999999999</v>
      </c>
      <c r="J275" s="487">
        <f t="shared" ref="J275:J302" si="116">H275-I275</f>
        <v>3.4470000000000027</v>
      </c>
      <c r="K275" s="328">
        <f t="shared" ref="K275:K302" si="117">CEILING((F275+J275)/2,0.25)</f>
        <v>3</v>
      </c>
      <c r="L275" s="382">
        <v>27</v>
      </c>
      <c r="M275" s="382">
        <v>150</v>
      </c>
      <c r="N275" s="488">
        <f t="shared" ref="N275:N302" si="118">SUM(AT275:BF275)</f>
        <v>125</v>
      </c>
      <c r="O275" s="330">
        <v>106</v>
      </c>
      <c r="P275" s="331">
        <f t="shared" ref="P275:P302" si="119">IF((N275-O275)&gt;0,N275-O275,0)</f>
        <v>19</v>
      </c>
      <c r="Q275" s="489">
        <f t="shared" ref="Q275:Q302" si="120">IF($M275=$Q$7,$L275*$P275,"")</f>
        <v>513</v>
      </c>
      <c r="R275" s="490" t="str">
        <f t="shared" ref="R275:R302" si="121">IF($M275=$R$7,$L275*$P275,"")</f>
        <v/>
      </c>
      <c r="S275" s="490" t="str">
        <f t="shared" ref="S275:S302" si="122">IF($M275=$S$7,$L275*$P275,"")</f>
        <v/>
      </c>
      <c r="T275" s="490" t="str">
        <f t="shared" ref="T275:T302" si="123">IF($M275=$T$7,$L275*$P275,"")</f>
        <v/>
      </c>
      <c r="U275" s="490" t="str">
        <f t="shared" ref="U275:U302" si="124">IF($M275=$U$7,$L275*$P275,"")</f>
        <v/>
      </c>
      <c r="V275" s="490" t="str">
        <f t="shared" ref="V275:V302" si="125">IF($M275=$V$7,$L275*$P275,"")</f>
        <v/>
      </c>
      <c r="W275" s="490" t="str">
        <f t="shared" ref="W275:W302" si="126">IF($M275=$W$7,$L275*$P275,"")</f>
        <v/>
      </c>
      <c r="X275" s="490" t="str">
        <f t="shared" ref="X275:X302" si="127">IF($M275=$X$7,$L275*$P275,"")</f>
        <v/>
      </c>
      <c r="Y275" s="490" t="str">
        <f t="shared" ref="Y275:Y302" si="128">IF($M275=$Y$7,$L275*$P275,"")</f>
        <v/>
      </c>
      <c r="Z275" s="490" t="str">
        <f t="shared" ref="Z275:Z302" si="129">IF($M275=$Z$7,$L275*$P275,"")</f>
        <v/>
      </c>
      <c r="AA275" s="490" t="str">
        <f t="shared" ref="AA275:AA302" si="130">IF($M275=$AA$7,$L275*$P275,"")</f>
        <v/>
      </c>
      <c r="AB275" s="490" t="str">
        <f t="shared" ref="AB275:AB302" si="131">IF($M275=$AB$7,$L275*$P275,"")</f>
        <v/>
      </c>
      <c r="AC275" s="335" t="str">
        <f t="shared" ref="AC275:AC302" si="132">IF($M275=$AC$7,$L275*$P275,"")</f>
        <v/>
      </c>
      <c r="AD275" s="396"/>
      <c r="AE275" s="491">
        <f t="shared" ref="AE275:AE302" si="133">((M275/1000)+0.225*2)*(K275-0.45)*L275</f>
        <v>41.309999999999995</v>
      </c>
      <c r="AF275" s="491">
        <f t="shared" ref="AF275:AF302" si="134">IF(K275&gt;0,(0.6*(1.5-0.45)*L275),0)</f>
        <v>17.010000000000002</v>
      </c>
      <c r="AG275" s="492">
        <v>125</v>
      </c>
      <c r="AH275" s="376">
        <v>154</v>
      </c>
      <c r="AI275" s="376">
        <v>171</v>
      </c>
      <c r="AJ275" s="376">
        <v>200</v>
      </c>
      <c r="AK275" s="376">
        <v>218</v>
      </c>
      <c r="AL275" s="376">
        <v>221</v>
      </c>
      <c r="AM275" s="376">
        <v>233</v>
      </c>
      <c r="AN275" s="376">
        <v>251</v>
      </c>
      <c r="AO275" s="376">
        <v>281</v>
      </c>
      <c r="AP275" s="376">
        <v>361</v>
      </c>
      <c r="AQ275" s="376">
        <v>411</v>
      </c>
      <c r="AR275" s="376">
        <v>496</v>
      </c>
      <c r="AS275" s="493">
        <v>556</v>
      </c>
      <c r="AT275" s="492">
        <f t="shared" ref="AT275:AT302" si="135">IF($M275=$AH$7,AG275,0)</f>
        <v>125</v>
      </c>
      <c r="AU275" s="376">
        <f t="shared" ref="AU275:AU302" si="136">IF($M275=$AI$7,AH275,0)</f>
        <v>0</v>
      </c>
      <c r="AV275" s="376">
        <f t="shared" ref="AV275:AV302" si="137">IF($M275=$AJ$7,AI275,0)</f>
        <v>0</v>
      </c>
      <c r="AW275" s="376">
        <f t="shared" ref="AW275:AW302" si="138">IF($M275=$AK$7,AJ275,0)</f>
        <v>0</v>
      </c>
      <c r="AX275" s="376">
        <f t="shared" ref="AX275:AX302" si="139">IF($M275=$AL$7,AK275,0)</f>
        <v>0</v>
      </c>
      <c r="AY275" s="376">
        <f t="shared" ref="AY275:AY302" si="140">IF($M275=$AM$7,AL275,0)</f>
        <v>0</v>
      </c>
      <c r="AZ275" s="376">
        <f t="shared" ref="AZ275:AZ302" si="141">IF($M275=$AN$7,AM275,0)</f>
        <v>0</v>
      </c>
      <c r="BA275" s="376">
        <f t="shared" ref="BA275:BA302" si="142">IF($M275=$AO$7,AN275,0)</f>
        <v>0</v>
      </c>
      <c r="BB275" s="376">
        <f t="shared" ref="BB275:BB302" si="143">IF($M275=$AP$7,AO275,0)</f>
        <v>0</v>
      </c>
      <c r="BC275" s="376">
        <f t="shared" ref="BC275:BC302" si="144">IF($M275=$AQ$7,AP275,0)</f>
        <v>0</v>
      </c>
      <c r="BD275" s="376">
        <f t="shared" ref="BD275:BD302" si="145">IF($M275=$AR$7,AQ275,0)</f>
        <v>0</v>
      </c>
      <c r="BE275" s="376">
        <f t="shared" ref="BE275:BE302" si="146">IF($M275=$AS$7,AR275,0)</f>
        <v>0</v>
      </c>
      <c r="BF275" s="493">
        <f t="shared" ref="BF275:BF302" si="147">IF($M275=$AT$7,AS275,0)</f>
        <v>0</v>
      </c>
      <c r="BG275" s="492">
        <f t="shared" ref="BG275:BG302" si="148">IF($M275=$Q$7,$L275,"")</f>
        <v>27</v>
      </c>
      <c r="BH275" s="376" t="str">
        <f t="shared" ref="BH275:BH302" si="149">IF($M275=$R$7,$L275,"")</f>
        <v/>
      </c>
      <c r="BI275" s="376" t="str">
        <f t="shared" ref="BI275:BI302" si="150">IF($M275=$S$7,$L275,"")</f>
        <v/>
      </c>
      <c r="BJ275" s="376" t="str">
        <f t="shared" ref="BJ275:BJ302" si="151">IF($M275=$T$7,$L275,"")</f>
        <v/>
      </c>
      <c r="BK275" s="376" t="str">
        <f t="shared" ref="BK275:BK302" si="152">IF($M275=$U$7,$L275,"")</f>
        <v/>
      </c>
      <c r="BL275" s="376" t="str">
        <f t="shared" ref="BL275:BL302" si="153">IF($M275=$V$7,$L275,"")</f>
        <v/>
      </c>
      <c r="BM275" s="376" t="str">
        <f t="shared" ref="BM275:BM302" si="154">IF($M275=$W$7,$L275,"")</f>
        <v/>
      </c>
      <c r="BN275" s="376" t="str">
        <f t="shared" ref="BN275:BN302" si="155">IF($M275=$X$7,$L275,"")</f>
        <v/>
      </c>
      <c r="BO275" s="376" t="str">
        <f t="shared" ref="BO275:BO302" si="156">IF($M275=$Y$7,$L275,"")</f>
        <v/>
      </c>
      <c r="BP275" s="376" t="str">
        <f t="shared" ref="BP275:BP302" si="157">IF($M275=$Z$7,$L275,"")</f>
        <v/>
      </c>
      <c r="BQ275" s="376" t="str">
        <f t="shared" ref="BQ275:BQ302" si="158">IF($M275=$AA$7,$L275,"")</f>
        <v/>
      </c>
      <c r="BR275" s="376" t="str">
        <f t="shared" ref="BR275:BR302" si="159">IF($M275=$AB$7,$L275,"")</f>
        <v/>
      </c>
      <c r="BS275" s="493" t="str">
        <f t="shared" ref="BS275:BS302" si="160">IF($M275=$AC$7,$L275,"")</f>
        <v/>
      </c>
      <c r="BT275" s="302"/>
      <c r="BU275" s="302"/>
    </row>
    <row r="276" spans="1:73">
      <c r="A276" s="302"/>
      <c r="B276" s="302"/>
      <c r="C276" s="325" t="s">
        <v>382</v>
      </c>
      <c r="D276" s="326">
        <v>115.669</v>
      </c>
      <c r="E276" s="326">
        <v>112.22199999999999</v>
      </c>
      <c r="F276" s="327">
        <f t="shared" si="115"/>
        <v>3.4470000000000027</v>
      </c>
      <c r="G276" s="325" t="s">
        <v>383</v>
      </c>
      <c r="H276" s="326">
        <v>116.41500000000001</v>
      </c>
      <c r="I276" s="326">
        <v>112.003</v>
      </c>
      <c r="J276" s="327">
        <f t="shared" si="116"/>
        <v>4.4120000000000061</v>
      </c>
      <c r="K276" s="343">
        <f t="shared" si="117"/>
        <v>4</v>
      </c>
      <c r="L276" s="394">
        <v>30</v>
      </c>
      <c r="M276" s="394">
        <v>150</v>
      </c>
      <c r="N276" s="494">
        <f t="shared" si="118"/>
        <v>195</v>
      </c>
      <c r="O276" s="345">
        <v>106</v>
      </c>
      <c r="P276" s="346">
        <f t="shared" si="119"/>
        <v>89</v>
      </c>
      <c r="Q276" s="489">
        <f t="shared" si="120"/>
        <v>2670</v>
      </c>
      <c r="R276" s="490" t="str">
        <f t="shared" si="121"/>
        <v/>
      </c>
      <c r="S276" s="490" t="str">
        <f t="shared" si="122"/>
        <v/>
      </c>
      <c r="T276" s="490" t="str">
        <f t="shared" si="123"/>
        <v/>
      </c>
      <c r="U276" s="490" t="str">
        <f t="shared" si="124"/>
        <v/>
      </c>
      <c r="V276" s="490" t="str">
        <f t="shared" si="125"/>
        <v/>
      </c>
      <c r="W276" s="490" t="str">
        <f t="shared" si="126"/>
        <v/>
      </c>
      <c r="X276" s="490" t="str">
        <f t="shared" si="127"/>
        <v/>
      </c>
      <c r="Y276" s="490" t="str">
        <f t="shared" si="128"/>
        <v/>
      </c>
      <c r="Z276" s="490" t="str">
        <f t="shared" si="129"/>
        <v/>
      </c>
      <c r="AA276" s="490" t="str">
        <f t="shared" si="130"/>
        <v/>
      </c>
      <c r="AB276" s="490" t="str">
        <f t="shared" si="131"/>
        <v/>
      </c>
      <c r="AC276" s="335" t="str">
        <f t="shared" si="132"/>
        <v/>
      </c>
      <c r="AD276" s="396"/>
      <c r="AE276" s="495">
        <f t="shared" si="133"/>
        <v>63.9</v>
      </c>
      <c r="AF276" s="495">
        <f t="shared" si="134"/>
        <v>18.899999999999999</v>
      </c>
      <c r="AG276" s="496">
        <v>195</v>
      </c>
      <c r="AH276" s="304">
        <v>225</v>
      </c>
      <c r="AI276" s="304">
        <v>251</v>
      </c>
      <c r="AJ276" s="304">
        <v>265</v>
      </c>
      <c r="AK276" s="304">
        <v>275</v>
      </c>
      <c r="AL276" s="304">
        <v>277</v>
      </c>
      <c r="AM276" s="304">
        <v>301</v>
      </c>
      <c r="AN276" s="304">
        <v>319</v>
      </c>
      <c r="AO276" s="304">
        <v>361</v>
      </c>
      <c r="AP276" s="304">
        <v>441</v>
      </c>
      <c r="AQ276" s="304">
        <v>491</v>
      </c>
      <c r="AR276" s="304">
        <v>594</v>
      </c>
      <c r="AS276" s="497">
        <v>654</v>
      </c>
      <c r="AT276" s="496">
        <f t="shared" si="135"/>
        <v>195</v>
      </c>
      <c r="AU276" s="304">
        <f t="shared" si="136"/>
        <v>0</v>
      </c>
      <c r="AV276" s="304">
        <f t="shared" si="137"/>
        <v>0</v>
      </c>
      <c r="AW276" s="304">
        <f t="shared" si="138"/>
        <v>0</v>
      </c>
      <c r="AX276" s="304">
        <f t="shared" si="139"/>
        <v>0</v>
      </c>
      <c r="AY276" s="304">
        <f t="shared" si="140"/>
        <v>0</v>
      </c>
      <c r="AZ276" s="304">
        <f t="shared" si="141"/>
        <v>0</v>
      </c>
      <c r="BA276" s="304">
        <f t="shared" si="142"/>
        <v>0</v>
      </c>
      <c r="BB276" s="304">
        <f t="shared" si="143"/>
        <v>0</v>
      </c>
      <c r="BC276" s="304">
        <f t="shared" si="144"/>
        <v>0</v>
      </c>
      <c r="BD276" s="304">
        <f t="shared" si="145"/>
        <v>0</v>
      </c>
      <c r="BE276" s="304">
        <f t="shared" si="146"/>
        <v>0</v>
      </c>
      <c r="BF276" s="497">
        <f t="shared" si="147"/>
        <v>0</v>
      </c>
      <c r="BG276" s="496">
        <f t="shared" si="148"/>
        <v>30</v>
      </c>
      <c r="BH276" s="304" t="str">
        <f t="shared" si="149"/>
        <v/>
      </c>
      <c r="BI276" s="304" t="str">
        <f t="shared" si="150"/>
        <v/>
      </c>
      <c r="BJ276" s="304" t="str">
        <f t="shared" si="151"/>
        <v/>
      </c>
      <c r="BK276" s="304" t="str">
        <f t="shared" si="152"/>
        <v/>
      </c>
      <c r="BL276" s="304" t="str">
        <f t="shared" si="153"/>
        <v/>
      </c>
      <c r="BM276" s="304" t="str">
        <f t="shared" si="154"/>
        <v/>
      </c>
      <c r="BN276" s="304" t="str">
        <f t="shared" si="155"/>
        <v/>
      </c>
      <c r="BO276" s="304" t="str">
        <f t="shared" si="156"/>
        <v/>
      </c>
      <c r="BP276" s="304" t="str">
        <f t="shared" si="157"/>
        <v/>
      </c>
      <c r="BQ276" s="304" t="str">
        <f t="shared" si="158"/>
        <v/>
      </c>
      <c r="BR276" s="304" t="str">
        <f t="shared" si="159"/>
        <v/>
      </c>
      <c r="BS276" s="497" t="str">
        <f t="shared" si="160"/>
        <v/>
      </c>
      <c r="BT276" s="302"/>
      <c r="BU276" s="302"/>
    </row>
    <row r="277" spans="1:73">
      <c r="A277" s="302"/>
      <c r="B277" s="302"/>
      <c r="C277" s="325" t="s">
        <v>383</v>
      </c>
      <c r="D277" s="326">
        <v>116.41500000000001</v>
      </c>
      <c r="E277" s="326">
        <v>112.003</v>
      </c>
      <c r="F277" s="327">
        <f t="shared" si="115"/>
        <v>4.4120000000000061</v>
      </c>
      <c r="G277" s="325" t="s">
        <v>384</v>
      </c>
      <c r="H277" s="326">
        <v>117.059</v>
      </c>
      <c r="I277" s="326">
        <v>111.81699999999999</v>
      </c>
      <c r="J277" s="327">
        <f t="shared" si="116"/>
        <v>5.2420000000000044</v>
      </c>
      <c r="K277" s="343">
        <f t="shared" si="117"/>
        <v>5</v>
      </c>
      <c r="L277" s="394">
        <v>25</v>
      </c>
      <c r="M277" s="394">
        <v>150</v>
      </c>
      <c r="N277" s="494">
        <f t="shared" si="118"/>
        <v>245</v>
      </c>
      <c r="O277" s="345">
        <v>106</v>
      </c>
      <c r="P277" s="346">
        <f t="shared" si="119"/>
        <v>139</v>
      </c>
      <c r="Q277" s="489">
        <f t="shared" si="120"/>
        <v>3475</v>
      </c>
      <c r="R277" s="490" t="str">
        <f t="shared" si="121"/>
        <v/>
      </c>
      <c r="S277" s="490" t="str">
        <f t="shared" si="122"/>
        <v/>
      </c>
      <c r="T277" s="490" t="str">
        <f t="shared" si="123"/>
        <v/>
      </c>
      <c r="U277" s="490" t="str">
        <f t="shared" si="124"/>
        <v/>
      </c>
      <c r="V277" s="490" t="str">
        <f t="shared" si="125"/>
        <v/>
      </c>
      <c r="W277" s="490" t="str">
        <f t="shared" si="126"/>
        <v/>
      </c>
      <c r="X277" s="490" t="str">
        <f t="shared" si="127"/>
        <v/>
      </c>
      <c r="Y277" s="490" t="str">
        <f t="shared" si="128"/>
        <v/>
      </c>
      <c r="Z277" s="490" t="str">
        <f t="shared" si="129"/>
        <v/>
      </c>
      <c r="AA277" s="490" t="str">
        <f t="shared" si="130"/>
        <v/>
      </c>
      <c r="AB277" s="490" t="str">
        <f t="shared" si="131"/>
        <v/>
      </c>
      <c r="AC277" s="335" t="str">
        <f t="shared" si="132"/>
        <v/>
      </c>
      <c r="AD277" s="396"/>
      <c r="AE277" s="495">
        <f t="shared" si="133"/>
        <v>68.25</v>
      </c>
      <c r="AF277" s="495">
        <f t="shared" si="134"/>
        <v>15.75</v>
      </c>
      <c r="AG277" s="496">
        <v>245</v>
      </c>
      <c r="AH277" s="304">
        <v>311</v>
      </c>
      <c r="AI277" s="304">
        <v>331</v>
      </c>
      <c r="AJ277" s="304">
        <v>356</v>
      </c>
      <c r="AK277" s="304">
        <v>361</v>
      </c>
      <c r="AL277" s="304">
        <v>357</v>
      </c>
      <c r="AM277" s="304">
        <v>369</v>
      </c>
      <c r="AN277" s="304">
        <v>387</v>
      </c>
      <c r="AO277" s="304">
        <v>431</v>
      </c>
      <c r="AP277" s="304">
        <v>511</v>
      </c>
      <c r="AQ277" s="304">
        <v>561</v>
      </c>
      <c r="AR277" s="304">
        <v>660</v>
      </c>
      <c r="AS277" s="497">
        <v>720</v>
      </c>
      <c r="AT277" s="496">
        <f t="shared" si="135"/>
        <v>245</v>
      </c>
      <c r="AU277" s="304">
        <f t="shared" si="136"/>
        <v>0</v>
      </c>
      <c r="AV277" s="304">
        <f t="shared" si="137"/>
        <v>0</v>
      </c>
      <c r="AW277" s="304">
        <f t="shared" si="138"/>
        <v>0</v>
      </c>
      <c r="AX277" s="304">
        <f t="shared" si="139"/>
        <v>0</v>
      </c>
      <c r="AY277" s="304">
        <f t="shared" si="140"/>
        <v>0</v>
      </c>
      <c r="AZ277" s="304">
        <f t="shared" si="141"/>
        <v>0</v>
      </c>
      <c r="BA277" s="304">
        <f t="shared" si="142"/>
        <v>0</v>
      </c>
      <c r="BB277" s="304">
        <f t="shared" si="143"/>
        <v>0</v>
      </c>
      <c r="BC277" s="304">
        <f t="shared" si="144"/>
        <v>0</v>
      </c>
      <c r="BD277" s="304">
        <f t="shared" si="145"/>
        <v>0</v>
      </c>
      <c r="BE277" s="304">
        <f t="shared" si="146"/>
        <v>0</v>
      </c>
      <c r="BF277" s="497">
        <f t="shared" si="147"/>
        <v>0</v>
      </c>
      <c r="BG277" s="496">
        <f t="shared" si="148"/>
        <v>25</v>
      </c>
      <c r="BH277" s="304" t="str">
        <f t="shared" si="149"/>
        <v/>
      </c>
      <c r="BI277" s="304" t="str">
        <f t="shared" si="150"/>
        <v/>
      </c>
      <c r="BJ277" s="304" t="str">
        <f t="shared" si="151"/>
        <v/>
      </c>
      <c r="BK277" s="304" t="str">
        <f t="shared" si="152"/>
        <v/>
      </c>
      <c r="BL277" s="304" t="str">
        <f t="shared" si="153"/>
        <v/>
      </c>
      <c r="BM277" s="304" t="str">
        <f t="shared" si="154"/>
        <v/>
      </c>
      <c r="BN277" s="304" t="str">
        <f t="shared" si="155"/>
        <v/>
      </c>
      <c r="BO277" s="304" t="str">
        <f t="shared" si="156"/>
        <v/>
      </c>
      <c r="BP277" s="304" t="str">
        <f t="shared" si="157"/>
        <v/>
      </c>
      <c r="BQ277" s="304" t="str">
        <f t="shared" si="158"/>
        <v/>
      </c>
      <c r="BR277" s="304" t="str">
        <f t="shared" si="159"/>
        <v/>
      </c>
      <c r="BS277" s="497" t="str">
        <f t="shared" si="160"/>
        <v/>
      </c>
      <c r="BT277" s="302"/>
      <c r="BU277" s="302"/>
    </row>
    <row r="278" spans="1:73">
      <c r="A278" s="302"/>
      <c r="B278" s="302"/>
      <c r="C278" s="325" t="s">
        <v>384</v>
      </c>
      <c r="D278" s="326">
        <v>117.059</v>
      </c>
      <c r="E278" s="326">
        <v>111.81699999999999</v>
      </c>
      <c r="F278" s="327">
        <f t="shared" si="115"/>
        <v>5.2420000000000044</v>
      </c>
      <c r="G278" s="325" t="s">
        <v>385</v>
      </c>
      <c r="H278" s="326">
        <v>117.059</v>
      </c>
      <c r="I278" s="326">
        <v>111.723</v>
      </c>
      <c r="J278" s="327">
        <f t="shared" si="116"/>
        <v>5.3359999999999985</v>
      </c>
      <c r="K278" s="343">
        <f t="shared" si="117"/>
        <v>5.5</v>
      </c>
      <c r="L278" s="394">
        <v>13</v>
      </c>
      <c r="M278" s="394">
        <v>150</v>
      </c>
      <c r="N278" s="494">
        <f t="shared" si="118"/>
        <v>269</v>
      </c>
      <c r="O278" s="345">
        <v>106</v>
      </c>
      <c r="P278" s="346">
        <f t="shared" si="119"/>
        <v>163</v>
      </c>
      <c r="Q278" s="489">
        <f t="shared" si="120"/>
        <v>2119</v>
      </c>
      <c r="R278" s="490" t="str">
        <f t="shared" si="121"/>
        <v/>
      </c>
      <c r="S278" s="490" t="str">
        <f t="shared" si="122"/>
        <v/>
      </c>
      <c r="T278" s="490" t="str">
        <f t="shared" si="123"/>
        <v/>
      </c>
      <c r="U278" s="490" t="str">
        <f t="shared" si="124"/>
        <v/>
      </c>
      <c r="V278" s="490" t="str">
        <f t="shared" si="125"/>
        <v/>
      </c>
      <c r="W278" s="490" t="str">
        <f t="shared" si="126"/>
        <v/>
      </c>
      <c r="X278" s="490" t="str">
        <f t="shared" si="127"/>
        <v/>
      </c>
      <c r="Y278" s="490" t="str">
        <f t="shared" si="128"/>
        <v/>
      </c>
      <c r="Z278" s="490" t="str">
        <f t="shared" si="129"/>
        <v/>
      </c>
      <c r="AA278" s="490" t="str">
        <f t="shared" si="130"/>
        <v/>
      </c>
      <c r="AB278" s="490" t="str">
        <f t="shared" si="131"/>
        <v/>
      </c>
      <c r="AC278" s="335" t="str">
        <f t="shared" si="132"/>
        <v/>
      </c>
      <c r="AD278" s="396"/>
      <c r="AE278" s="495">
        <f t="shared" si="133"/>
        <v>39.39</v>
      </c>
      <c r="AF278" s="495">
        <f t="shared" si="134"/>
        <v>8.19</v>
      </c>
      <c r="AG278" s="496">
        <v>269</v>
      </c>
      <c r="AH278" s="304">
        <v>341</v>
      </c>
      <c r="AI278" s="304">
        <v>371</v>
      </c>
      <c r="AJ278" s="304">
        <v>403</v>
      </c>
      <c r="AK278" s="304">
        <v>401</v>
      </c>
      <c r="AL278" s="304">
        <v>404</v>
      </c>
      <c r="AM278" s="304">
        <v>403</v>
      </c>
      <c r="AN278" s="304">
        <v>421</v>
      </c>
      <c r="AO278" s="304">
        <v>465</v>
      </c>
      <c r="AP278" s="304">
        <v>545</v>
      </c>
      <c r="AQ278" s="304">
        <v>595</v>
      </c>
      <c r="AR278" s="304">
        <v>704</v>
      </c>
      <c r="AS278" s="497">
        <v>764</v>
      </c>
      <c r="AT278" s="496">
        <f t="shared" si="135"/>
        <v>269</v>
      </c>
      <c r="AU278" s="304">
        <f t="shared" si="136"/>
        <v>0</v>
      </c>
      <c r="AV278" s="304">
        <f t="shared" si="137"/>
        <v>0</v>
      </c>
      <c r="AW278" s="304">
        <f t="shared" si="138"/>
        <v>0</v>
      </c>
      <c r="AX278" s="304">
        <f t="shared" si="139"/>
        <v>0</v>
      </c>
      <c r="AY278" s="304">
        <f t="shared" si="140"/>
        <v>0</v>
      </c>
      <c r="AZ278" s="304">
        <f t="shared" si="141"/>
        <v>0</v>
      </c>
      <c r="BA278" s="304">
        <f t="shared" si="142"/>
        <v>0</v>
      </c>
      <c r="BB278" s="304">
        <f t="shared" si="143"/>
        <v>0</v>
      </c>
      <c r="BC278" s="304">
        <f t="shared" si="144"/>
        <v>0</v>
      </c>
      <c r="BD278" s="304">
        <f t="shared" si="145"/>
        <v>0</v>
      </c>
      <c r="BE278" s="304">
        <f t="shared" si="146"/>
        <v>0</v>
      </c>
      <c r="BF278" s="497">
        <f t="shared" si="147"/>
        <v>0</v>
      </c>
      <c r="BG278" s="496">
        <f t="shared" si="148"/>
        <v>13</v>
      </c>
      <c r="BH278" s="304" t="str">
        <f t="shared" si="149"/>
        <v/>
      </c>
      <c r="BI278" s="304" t="str">
        <f t="shared" si="150"/>
        <v/>
      </c>
      <c r="BJ278" s="304" t="str">
        <f t="shared" si="151"/>
        <v/>
      </c>
      <c r="BK278" s="304" t="str">
        <f t="shared" si="152"/>
        <v/>
      </c>
      <c r="BL278" s="304" t="str">
        <f t="shared" si="153"/>
        <v/>
      </c>
      <c r="BM278" s="304" t="str">
        <f t="shared" si="154"/>
        <v/>
      </c>
      <c r="BN278" s="304" t="str">
        <f t="shared" si="155"/>
        <v/>
      </c>
      <c r="BO278" s="304" t="str">
        <f t="shared" si="156"/>
        <v/>
      </c>
      <c r="BP278" s="304" t="str">
        <f t="shared" si="157"/>
        <v/>
      </c>
      <c r="BQ278" s="304" t="str">
        <f t="shared" si="158"/>
        <v/>
      </c>
      <c r="BR278" s="304" t="str">
        <f t="shared" si="159"/>
        <v/>
      </c>
      <c r="BS278" s="497" t="str">
        <f t="shared" si="160"/>
        <v/>
      </c>
      <c r="BT278" s="302"/>
      <c r="BU278" s="302"/>
    </row>
    <row r="279" spans="1:73">
      <c r="A279" s="302"/>
      <c r="B279" s="302"/>
      <c r="C279" s="325" t="s">
        <v>385</v>
      </c>
      <c r="D279" s="326">
        <v>117.059</v>
      </c>
      <c r="E279" s="326">
        <v>111.723</v>
      </c>
      <c r="F279" s="327">
        <f t="shared" si="115"/>
        <v>5.3359999999999985</v>
      </c>
      <c r="G279" s="325" t="s">
        <v>386</v>
      </c>
      <c r="H279" s="326">
        <v>118</v>
      </c>
      <c r="I279" s="326">
        <v>111.489</v>
      </c>
      <c r="J279" s="327">
        <f t="shared" si="116"/>
        <v>6.5109999999999957</v>
      </c>
      <c r="K279" s="343">
        <f t="shared" si="117"/>
        <v>6</v>
      </c>
      <c r="L279" s="394">
        <v>32</v>
      </c>
      <c r="M279" s="394">
        <v>150</v>
      </c>
      <c r="N279" s="494">
        <f t="shared" si="118"/>
        <v>292</v>
      </c>
      <c r="O279" s="345">
        <v>106</v>
      </c>
      <c r="P279" s="346">
        <f t="shared" si="119"/>
        <v>186</v>
      </c>
      <c r="Q279" s="489">
        <f t="shared" si="120"/>
        <v>5952</v>
      </c>
      <c r="R279" s="490" t="str">
        <f t="shared" si="121"/>
        <v/>
      </c>
      <c r="S279" s="490" t="str">
        <f t="shared" si="122"/>
        <v/>
      </c>
      <c r="T279" s="490" t="str">
        <f t="shared" si="123"/>
        <v/>
      </c>
      <c r="U279" s="490" t="str">
        <f t="shared" si="124"/>
        <v/>
      </c>
      <c r="V279" s="490" t="str">
        <f t="shared" si="125"/>
        <v/>
      </c>
      <c r="W279" s="490" t="str">
        <f t="shared" si="126"/>
        <v/>
      </c>
      <c r="X279" s="490" t="str">
        <f t="shared" si="127"/>
        <v/>
      </c>
      <c r="Y279" s="490" t="str">
        <f t="shared" si="128"/>
        <v/>
      </c>
      <c r="Z279" s="490" t="str">
        <f t="shared" si="129"/>
        <v/>
      </c>
      <c r="AA279" s="490" t="str">
        <f t="shared" si="130"/>
        <v/>
      </c>
      <c r="AB279" s="490" t="str">
        <f t="shared" si="131"/>
        <v/>
      </c>
      <c r="AC279" s="335" t="str">
        <f t="shared" si="132"/>
        <v/>
      </c>
      <c r="AD279" s="396"/>
      <c r="AE279" s="495">
        <f t="shared" si="133"/>
        <v>106.55999999999999</v>
      </c>
      <c r="AF279" s="495">
        <f t="shared" si="134"/>
        <v>20.16</v>
      </c>
      <c r="AG279" s="496">
        <v>292</v>
      </c>
      <c r="AH279" s="304">
        <v>371</v>
      </c>
      <c r="AI279" s="304">
        <v>0</v>
      </c>
      <c r="AJ279" s="304">
        <v>0</v>
      </c>
      <c r="AK279" s="304">
        <v>425</v>
      </c>
      <c r="AL279" s="304">
        <v>430</v>
      </c>
      <c r="AM279" s="304">
        <v>437</v>
      </c>
      <c r="AN279" s="304">
        <v>455</v>
      </c>
      <c r="AO279" s="304">
        <v>499</v>
      </c>
      <c r="AP279" s="304">
        <v>579</v>
      </c>
      <c r="AQ279" s="304">
        <v>629</v>
      </c>
      <c r="AR279" s="304">
        <v>738</v>
      </c>
      <c r="AS279" s="497">
        <v>798</v>
      </c>
      <c r="AT279" s="496">
        <f t="shared" si="135"/>
        <v>292</v>
      </c>
      <c r="AU279" s="304">
        <f t="shared" si="136"/>
        <v>0</v>
      </c>
      <c r="AV279" s="304">
        <f t="shared" si="137"/>
        <v>0</v>
      </c>
      <c r="AW279" s="304">
        <f t="shared" si="138"/>
        <v>0</v>
      </c>
      <c r="AX279" s="304">
        <f t="shared" si="139"/>
        <v>0</v>
      </c>
      <c r="AY279" s="304">
        <f t="shared" si="140"/>
        <v>0</v>
      </c>
      <c r="AZ279" s="304">
        <f t="shared" si="141"/>
        <v>0</v>
      </c>
      <c r="BA279" s="304">
        <f t="shared" si="142"/>
        <v>0</v>
      </c>
      <c r="BB279" s="304">
        <f t="shared" si="143"/>
        <v>0</v>
      </c>
      <c r="BC279" s="304">
        <f t="shared" si="144"/>
        <v>0</v>
      </c>
      <c r="BD279" s="304">
        <f t="shared" si="145"/>
        <v>0</v>
      </c>
      <c r="BE279" s="304">
        <f t="shared" si="146"/>
        <v>0</v>
      </c>
      <c r="BF279" s="497">
        <f t="shared" si="147"/>
        <v>0</v>
      </c>
      <c r="BG279" s="496">
        <f t="shared" si="148"/>
        <v>32</v>
      </c>
      <c r="BH279" s="304" t="str">
        <f t="shared" si="149"/>
        <v/>
      </c>
      <c r="BI279" s="304" t="str">
        <f t="shared" si="150"/>
        <v/>
      </c>
      <c r="BJ279" s="304" t="str">
        <f t="shared" si="151"/>
        <v/>
      </c>
      <c r="BK279" s="304" t="str">
        <f t="shared" si="152"/>
        <v/>
      </c>
      <c r="BL279" s="304" t="str">
        <f t="shared" si="153"/>
        <v/>
      </c>
      <c r="BM279" s="304" t="str">
        <f t="shared" si="154"/>
        <v/>
      </c>
      <c r="BN279" s="304" t="str">
        <f t="shared" si="155"/>
        <v/>
      </c>
      <c r="BO279" s="304" t="str">
        <f t="shared" si="156"/>
        <v/>
      </c>
      <c r="BP279" s="304" t="str">
        <f t="shared" si="157"/>
        <v/>
      </c>
      <c r="BQ279" s="304" t="str">
        <f t="shared" si="158"/>
        <v/>
      </c>
      <c r="BR279" s="304" t="str">
        <f t="shared" si="159"/>
        <v/>
      </c>
      <c r="BS279" s="497" t="str">
        <f t="shared" si="160"/>
        <v/>
      </c>
      <c r="BT279" s="302"/>
      <c r="BU279" s="302"/>
    </row>
    <row r="280" spans="1:73">
      <c r="A280" s="302"/>
      <c r="B280" s="302"/>
      <c r="C280" s="325" t="s">
        <v>386</v>
      </c>
      <c r="D280" s="326">
        <v>118</v>
      </c>
      <c r="E280" s="326">
        <v>111.489</v>
      </c>
      <c r="F280" s="327">
        <f t="shared" si="115"/>
        <v>6.5109999999999957</v>
      </c>
      <c r="G280" s="325" t="s">
        <v>387</v>
      </c>
      <c r="H280" s="326">
        <v>118</v>
      </c>
      <c r="I280" s="326">
        <v>111.339</v>
      </c>
      <c r="J280" s="327">
        <f t="shared" si="116"/>
        <v>6.6610000000000014</v>
      </c>
      <c r="K280" s="343">
        <f t="shared" si="117"/>
        <v>6.75</v>
      </c>
      <c r="L280" s="394">
        <v>21</v>
      </c>
      <c r="M280" s="394">
        <v>150</v>
      </c>
      <c r="N280" s="494">
        <f t="shared" si="118"/>
        <v>394</v>
      </c>
      <c r="O280" s="345">
        <v>106</v>
      </c>
      <c r="P280" s="346">
        <f t="shared" si="119"/>
        <v>288</v>
      </c>
      <c r="Q280" s="489">
        <f t="shared" si="120"/>
        <v>6048</v>
      </c>
      <c r="R280" s="490" t="str">
        <f t="shared" si="121"/>
        <v/>
      </c>
      <c r="S280" s="490" t="str">
        <f t="shared" si="122"/>
        <v/>
      </c>
      <c r="T280" s="490" t="str">
        <f t="shared" si="123"/>
        <v/>
      </c>
      <c r="U280" s="490" t="str">
        <f t="shared" si="124"/>
        <v/>
      </c>
      <c r="V280" s="490" t="str">
        <f t="shared" si="125"/>
        <v/>
      </c>
      <c r="W280" s="490" t="str">
        <f t="shared" si="126"/>
        <v/>
      </c>
      <c r="X280" s="490" t="str">
        <f t="shared" si="127"/>
        <v/>
      </c>
      <c r="Y280" s="490" t="str">
        <f t="shared" si="128"/>
        <v/>
      </c>
      <c r="Z280" s="490" t="str">
        <f t="shared" si="129"/>
        <v/>
      </c>
      <c r="AA280" s="490" t="str">
        <f t="shared" si="130"/>
        <v/>
      </c>
      <c r="AB280" s="490" t="str">
        <f t="shared" si="131"/>
        <v/>
      </c>
      <c r="AC280" s="335" t="str">
        <f t="shared" si="132"/>
        <v/>
      </c>
      <c r="AD280" s="396"/>
      <c r="AE280" s="495">
        <f t="shared" si="133"/>
        <v>79.38</v>
      </c>
      <c r="AF280" s="495">
        <f t="shared" si="134"/>
        <v>13.23</v>
      </c>
      <c r="AG280" s="496">
        <v>394</v>
      </c>
      <c r="AH280" s="304">
        <v>416</v>
      </c>
      <c r="AI280" s="304">
        <v>0</v>
      </c>
      <c r="AJ280" s="304">
        <v>0</v>
      </c>
      <c r="AK280" s="304">
        <v>0</v>
      </c>
      <c r="AL280" s="304">
        <v>0</v>
      </c>
      <c r="AM280" s="304">
        <v>488</v>
      </c>
      <c r="AN280" s="304">
        <v>506</v>
      </c>
      <c r="AO280" s="304">
        <v>550</v>
      </c>
      <c r="AP280" s="304">
        <v>630</v>
      </c>
      <c r="AQ280" s="304">
        <v>680</v>
      </c>
      <c r="AR280" s="304">
        <v>789</v>
      </c>
      <c r="AS280" s="497">
        <v>849</v>
      </c>
      <c r="AT280" s="496">
        <f t="shared" si="135"/>
        <v>394</v>
      </c>
      <c r="AU280" s="304">
        <f t="shared" si="136"/>
        <v>0</v>
      </c>
      <c r="AV280" s="304">
        <f t="shared" si="137"/>
        <v>0</v>
      </c>
      <c r="AW280" s="304">
        <f t="shared" si="138"/>
        <v>0</v>
      </c>
      <c r="AX280" s="304">
        <f t="shared" si="139"/>
        <v>0</v>
      </c>
      <c r="AY280" s="304">
        <f t="shared" si="140"/>
        <v>0</v>
      </c>
      <c r="AZ280" s="304">
        <f t="shared" si="141"/>
        <v>0</v>
      </c>
      <c r="BA280" s="304">
        <f t="shared" si="142"/>
        <v>0</v>
      </c>
      <c r="BB280" s="304">
        <f t="shared" si="143"/>
        <v>0</v>
      </c>
      <c r="BC280" s="304">
        <f t="shared" si="144"/>
        <v>0</v>
      </c>
      <c r="BD280" s="304">
        <f t="shared" si="145"/>
        <v>0</v>
      </c>
      <c r="BE280" s="304">
        <f t="shared" si="146"/>
        <v>0</v>
      </c>
      <c r="BF280" s="497">
        <f t="shared" si="147"/>
        <v>0</v>
      </c>
      <c r="BG280" s="496">
        <f t="shared" si="148"/>
        <v>21</v>
      </c>
      <c r="BH280" s="304" t="str">
        <f t="shared" si="149"/>
        <v/>
      </c>
      <c r="BI280" s="304" t="str">
        <f t="shared" si="150"/>
        <v/>
      </c>
      <c r="BJ280" s="304" t="str">
        <f t="shared" si="151"/>
        <v/>
      </c>
      <c r="BK280" s="304" t="str">
        <f t="shared" si="152"/>
        <v/>
      </c>
      <c r="BL280" s="304" t="str">
        <f t="shared" si="153"/>
        <v/>
      </c>
      <c r="BM280" s="304" t="str">
        <f t="shared" si="154"/>
        <v/>
      </c>
      <c r="BN280" s="304" t="str">
        <f t="shared" si="155"/>
        <v/>
      </c>
      <c r="BO280" s="304" t="str">
        <f t="shared" si="156"/>
        <v/>
      </c>
      <c r="BP280" s="304" t="str">
        <f t="shared" si="157"/>
        <v/>
      </c>
      <c r="BQ280" s="304" t="str">
        <f t="shared" si="158"/>
        <v/>
      </c>
      <c r="BR280" s="304" t="str">
        <f t="shared" si="159"/>
        <v/>
      </c>
      <c r="BS280" s="497" t="str">
        <f t="shared" si="160"/>
        <v/>
      </c>
      <c r="BT280" s="302"/>
      <c r="BU280" s="302"/>
    </row>
    <row r="281" spans="1:73">
      <c r="A281" s="302"/>
      <c r="B281" s="302"/>
      <c r="C281" s="325" t="s">
        <v>387</v>
      </c>
      <c r="D281" s="326">
        <v>118</v>
      </c>
      <c r="E281" s="326">
        <v>111.339</v>
      </c>
      <c r="F281" s="327">
        <f t="shared" si="115"/>
        <v>6.6610000000000014</v>
      </c>
      <c r="G281" s="325" t="s">
        <v>388</v>
      </c>
      <c r="H281" s="326">
        <v>114.75</v>
      </c>
      <c r="I281" s="326">
        <v>111.16500000000001</v>
      </c>
      <c r="J281" s="327">
        <f t="shared" si="116"/>
        <v>3.5849999999999937</v>
      </c>
      <c r="K281" s="343">
        <f t="shared" si="117"/>
        <v>5.25</v>
      </c>
      <c r="L281" s="394">
        <v>24</v>
      </c>
      <c r="M281" s="394">
        <v>150</v>
      </c>
      <c r="N281" s="494">
        <f t="shared" si="118"/>
        <v>257</v>
      </c>
      <c r="O281" s="345">
        <v>106</v>
      </c>
      <c r="P281" s="346">
        <f t="shared" si="119"/>
        <v>151</v>
      </c>
      <c r="Q281" s="489">
        <f t="shared" si="120"/>
        <v>3624</v>
      </c>
      <c r="R281" s="490" t="str">
        <f t="shared" si="121"/>
        <v/>
      </c>
      <c r="S281" s="490" t="str">
        <f t="shared" si="122"/>
        <v/>
      </c>
      <c r="T281" s="490" t="str">
        <f t="shared" si="123"/>
        <v/>
      </c>
      <c r="U281" s="490" t="str">
        <f t="shared" si="124"/>
        <v/>
      </c>
      <c r="V281" s="490" t="str">
        <f t="shared" si="125"/>
        <v/>
      </c>
      <c r="W281" s="490" t="str">
        <f t="shared" si="126"/>
        <v/>
      </c>
      <c r="X281" s="490" t="str">
        <f t="shared" si="127"/>
        <v/>
      </c>
      <c r="Y281" s="490" t="str">
        <f t="shared" si="128"/>
        <v/>
      </c>
      <c r="Z281" s="490" t="str">
        <f t="shared" si="129"/>
        <v/>
      </c>
      <c r="AA281" s="490" t="str">
        <f t="shared" si="130"/>
        <v/>
      </c>
      <c r="AB281" s="490" t="str">
        <f t="shared" si="131"/>
        <v/>
      </c>
      <c r="AC281" s="335" t="str">
        <f t="shared" si="132"/>
        <v/>
      </c>
      <c r="AD281" s="396"/>
      <c r="AE281" s="495">
        <f t="shared" si="133"/>
        <v>69.12</v>
      </c>
      <c r="AF281" s="495">
        <f t="shared" si="134"/>
        <v>15.120000000000001</v>
      </c>
      <c r="AG281" s="496">
        <v>257</v>
      </c>
      <c r="AH281" s="304">
        <v>326</v>
      </c>
      <c r="AI281" s="304">
        <v>351</v>
      </c>
      <c r="AJ281" s="304">
        <v>383</v>
      </c>
      <c r="AK281" s="304">
        <v>388</v>
      </c>
      <c r="AL281" s="304">
        <v>377</v>
      </c>
      <c r="AM281" s="304">
        <v>386</v>
      </c>
      <c r="AN281" s="304">
        <v>404</v>
      </c>
      <c r="AO281" s="304">
        <v>448</v>
      </c>
      <c r="AP281" s="304">
        <v>528</v>
      </c>
      <c r="AQ281" s="304">
        <v>578</v>
      </c>
      <c r="AR281" s="304">
        <v>677</v>
      </c>
      <c r="AS281" s="497">
        <v>737</v>
      </c>
      <c r="AT281" s="496">
        <f t="shared" si="135"/>
        <v>257</v>
      </c>
      <c r="AU281" s="304">
        <f t="shared" si="136"/>
        <v>0</v>
      </c>
      <c r="AV281" s="304">
        <f t="shared" si="137"/>
        <v>0</v>
      </c>
      <c r="AW281" s="304">
        <f t="shared" si="138"/>
        <v>0</v>
      </c>
      <c r="AX281" s="304">
        <f t="shared" si="139"/>
        <v>0</v>
      </c>
      <c r="AY281" s="304">
        <f t="shared" si="140"/>
        <v>0</v>
      </c>
      <c r="AZ281" s="304">
        <f t="shared" si="141"/>
        <v>0</v>
      </c>
      <c r="BA281" s="304">
        <f t="shared" si="142"/>
        <v>0</v>
      </c>
      <c r="BB281" s="304">
        <f t="shared" si="143"/>
        <v>0</v>
      </c>
      <c r="BC281" s="304">
        <f t="shared" si="144"/>
        <v>0</v>
      </c>
      <c r="BD281" s="304">
        <f t="shared" si="145"/>
        <v>0</v>
      </c>
      <c r="BE281" s="304">
        <f t="shared" si="146"/>
        <v>0</v>
      </c>
      <c r="BF281" s="497">
        <f t="shared" si="147"/>
        <v>0</v>
      </c>
      <c r="BG281" s="496">
        <f t="shared" si="148"/>
        <v>24</v>
      </c>
      <c r="BH281" s="304" t="str">
        <f t="shared" si="149"/>
        <v/>
      </c>
      <c r="BI281" s="304" t="str">
        <f t="shared" si="150"/>
        <v/>
      </c>
      <c r="BJ281" s="304" t="str">
        <f t="shared" si="151"/>
        <v/>
      </c>
      <c r="BK281" s="304" t="str">
        <f t="shared" si="152"/>
        <v/>
      </c>
      <c r="BL281" s="304" t="str">
        <f t="shared" si="153"/>
        <v/>
      </c>
      <c r="BM281" s="304" t="str">
        <f t="shared" si="154"/>
        <v/>
      </c>
      <c r="BN281" s="304" t="str">
        <f t="shared" si="155"/>
        <v/>
      </c>
      <c r="BO281" s="304" t="str">
        <f t="shared" si="156"/>
        <v/>
      </c>
      <c r="BP281" s="304" t="str">
        <f t="shared" si="157"/>
        <v/>
      </c>
      <c r="BQ281" s="304" t="str">
        <f t="shared" si="158"/>
        <v/>
      </c>
      <c r="BR281" s="304" t="str">
        <f t="shared" si="159"/>
        <v/>
      </c>
      <c r="BS281" s="497" t="str">
        <f t="shared" si="160"/>
        <v/>
      </c>
      <c r="BT281" s="302"/>
      <c r="BU281" s="302"/>
    </row>
    <row r="282" spans="1:73">
      <c r="A282" s="302"/>
      <c r="B282" s="302"/>
      <c r="C282" s="325"/>
      <c r="D282" s="326"/>
      <c r="E282" s="326"/>
      <c r="F282" s="327">
        <f t="shared" si="115"/>
        <v>0</v>
      </c>
      <c r="G282" s="325"/>
      <c r="H282" s="326"/>
      <c r="I282" s="326"/>
      <c r="J282" s="327">
        <f t="shared" si="116"/>
        <v>0</v>
      </c>
      <c r="K282" s="343">
        <f t="shared" si="117"/>
        <v>0</v>
      </c>
      <c r="L282" s="394"/>
      <c r="M282" s="394"/>
      <c r="N282" s="494">
        <f t="shared" si="118"/>
        <v>0</v>
      </c>
      <c r="O282" s="345">
        <v>0</v>
      </c>
      <c r="P282" s="346">
        <f t="shared" si="119"/>
        <v>0</v>
      </c>
      <c r="Q282" s="489" t="str">
        <f t="shared" si="120"/>
        <v/>
      </c>
      <c r="R282" s="490" t="str">
        <f t="shared" si="121"/>
        <v/>
      </c>
      <c r="S282" s="490" t="str">
        <f t="shared" si="122"/>
        <v/>
      </c>
      <c r="T282" s="490" t="str">
        <f t="shared" si="123"/>
        <v/>
      </c>
      <c r="U282" s="490" t="str">
        <f t="shared" si="124"/>
        <v/>
      </c>
      <c r="V282" s="490" t="str">
        <f t="shared" si="125"/>
        <v/>
      </c>
      <c r="W282" s="490" t="str">
        <f t="shared" si="126"/>
        <v/>
      </c>
      <c r="X282" s="490" t="str">
        <f t="shared" si="127"/>
        <v/>
      </c>
      <c r="Y282" s="490" t="str">
        <f t="shared" si="128"/>
        <v/>
      </c>
      <c r="Z282" s="490" t="str">
        <f t="shared" si="129"/>
        <v/>
      </c>
      <c r="AA282" s="490" t="str">
        <f t="shared" si="130"/>
        <v/>
      </c>
      <c r="AB282" s="490" t="str">
        <f t="shared" si="131"/>
        <v/>
      </c>
      <c r="AC282" s="335" t="str">
        <f t="shared" si="132"/>
        <v/>
      </c>
      <c r="AD282" s="396"/>
      <c r="AE282" s="495">
        <f t="shared" si="133"/>
        <v>0</v>
      </c>
      <c r="AF282" s="495">
        <f t="shared" si="134"/>
        <v>0</v>
      </c>
      <c r="AG282" s="496">
        <v>0</v>
      </c>
      <c r="AH282" s="304">
        <v>0</v>
      </c>
      <c r="AI282" s="304">
        <v>0</v>
      </c>
      <c r="AJ282" s="304">
        <v>0</v>
      </c>
      <c r="AK282" s="304">
        <v>0</v>
      </c>
      <c r="AL282" s="304">
        <v>0</v>
      </c>
      <c r="AM282" s="304">
        <v>0</v>
      </c>
      <c r="AN282" s="304">
        <v>0</v>
      </c>
      <c r="AO282" s="304">
        <v>0</v>
      </c>
      <c r="AP282" s="304">
        <v>0</v>
      </c>
      <c r="AQ282" s="304">
        <v>0</v>
      </c>
      <c r="AR282" s="304">
        <v>0</v>
      </c>
      <c r="AS282" s="497">
        <v>0</v>
      </c>
      <c r="AT282" s="496">
        <f t="shared" si="135"/>
        <v>0</v>
      </c>
      <c r="AU282" s="304">
        <f t="shared" si="136"/>
        <v>0</v>
      </c>
      <c r="AV282" s="304">
        <f t="shared" si="137"/>
        <v>0</v>
      </c>
      <c r="AW282" s="304">
        <f t="shared" si="138"/>
        <v>0</v>
      </c>
      <c r="AX282" s="304">
        <f t="shared" si="139"/>
        <v>0</v>
      </c>
      <c r="AY282" s="304">
        <f t="shared" si="140"/>
        <v>0</v>
      </c>
      <c r="AZ282" s="304">
        <f t="shared" si="141"/>
        <v>0</v>
      </c>
      <c r="BA282" s="304">
        <f t="shared" si="142"/>
        <v>0</v>
      </c>
      <c r="BB282" s="304">
        <f t="shared" si="143"/>
        <v>0</v>
      </c>
      <c r="BC282" s="304">
        <f t="shared" si="144"/>
        <v>0</v>
      </c>
      <c r="BD282" s="304">
        <f t="shared" si="145"/>
        <v>0</v>
      </c>
      <c r="BE282" s="304">
        <f t="shared" si="146"/>
        <v>0</v>
      </c>
      <c r="BF282" s="497">
        <f t="shared" si="147"/>
        <v>0</v>
      </c>
      <c r="BG282" s="496" t="str">
        <f t="shared" si="148"/>
        <v/>
      </c>
      <c r="BH282" s="304" t="str">
        <f t="shared" si="149"/>
        <v/>
      </c>
      <c r="BI282" s="304" t="str">
        <f t="shared" si="150"/>
        <v/>
      </c>
      <c r="BJ282" s="304" t="str">
        <f t="shared" si="151"/>
        <v/>
      </c>
      <c r="BK282" s="304" t="str">
        <f t="shared" si="152"/>
        <v/>
      </c>
      <c r="BL282" s="304" t="str">
        <f t="shared" si="153"/>
        <v/>
      </c>
      <c r="BM282" s="304" t="str">
        <f t="shared" si="154"/>
        <v/>
      </c>
      <c r="BN282" s="304" t="str">
        <f t="shared" si="155"/>
        <v/>
      </c>
      <c r="BO282" s="304" t="str">
        <f t="shared" si="156"/>
        <v/>
      </c>
      <c r="BP282" s="304" t="str">
        <f t="shared" si="157"/>
        <v/>
      </c>
      <c r="BQ282" s="304" t="str">
        <f t="shared" si="158"/>
        <v/>
      </c>
      <c r="BR282" s="304" t="str">
        <f t="shared" si="159"/>
        <v/>
      </c>
      <c r="BS282" s="497" t="str">
        <f t="shared" si="160"/>
        <v/>
      </c>
      <c r="BT282" s="302"/>
      <c r="BU282" s="302"/>
    </row>
    <row r="283" spans="1:73">
      <c r="A283" s="302"/>
      <c r="B283" s="302"/>
      <c r="C283" s="325" t="s">
        <v>389</v>
      </c>
      <c r="D283" s="326">
        <v>116.15600000000001</v>
      </c>
      <c r="E283" s="326">
        <v>114.456</v>
      </c>
      <c r="F283" s="327">
        <f t="shared" si="115"/>
        <v>1.7000000000000028</v>
      </c>
      <c r="G283" s="325" t="s">
        <v>390</v>
      </c>
      <c r="H283" s="326">
        <v>115.557</v>
      </c>
      <c r="I283" s="326">
        <v>113.392</v>
      </c>
      <c r="J283" s="327">
        <f t="shared" si="116"/>
        <v>2.1650000000000063</v>
      </c>
      <c r="K283" s="343">
        <f t="shared" si="117"/>
        <v>2</v>
      </c>
      <c r="L283" s="394">
        <v>18</v>
      </c>
      <c r="M283" s="394">
        <v>150</v>
      </c>
      <c r="N283" s="494">
        <f t="shared" si="118"/>
        <v>88</v>
      </c>
      <c r="O283" s="345">
        <v>106</v>
      </c>
      <c r="P283" s="346">
        <f t="shared" si="119"/>
        <v>0</v>
      </c>
      <c r="Q283" s="489">
        <f t="shared" si="120"/>
        <v>0</v>
      </c>
      <c r="R283" s="490" t="str">
        <f t="shared" si="121"/>
        <v/>
      </c>
      <c r="S283" s="490" t="str">
        <f t="shared" si="122"/>
        <v/>
      </c>
      <c r="T283" s="490" t="str">
        <f t="shared" si="123"/>
        <v/>
      </c>
      <c r="U283" s="490" t="str">
        <f t="shared" si="124"/>
        <v/>
      </c>
      <c r="V283" s="490" t="str">
        <f t="shared" si="125"/>
        <v/>
      </c>
      <c r="W283" s="490" t="str">
        <f t="shared" si="126"/>
        <v/>
      </c>
      <c r="X283" s="490" t="str">
        <f t="shared" si="127"/>
        <v/>
      </c>
      <c r="Y283" s="490" t="str">
        <f t="shared" si="128"/>
        <v/>
      </c>
      <c r="Z283" s="490" t="str">
        <f t="shared" si="129"/>
        <v/>
      </c>
      <c r="AA283" s="490" t="str">
        <f t="shared" si="130"/>
        <v/>
      </c>
      <c r="AB283" s="490" t="str">
        <f t="shared" si="131"/>
        <v/>
      </c>
      <c r="AC283" s="335" t="str">
        <f t="shared" si="132"/>
        <v/>
      </c>
      <c r="AD283" s="396"/>
      <c r="AE283" s="495">
        <f t="shared" si="133"/>
        <v>16.739999999999998</v>
      </c>
      <c r="AF283" s="495">
        <f t="shared" si="134"/>
        <v>11.34</v>
      </c>
      <c r="AG283" s="496">
        <v>88</v>
      </c>
      <c r="AH283" s="304">
        <v>109</v>
      </c>
      <c r="AI283" s="304">
        <v>126</v>
      </c>
      <c r="AJ283" s="304">
        <v>149</v>
      </c>
      <c r="AK283" s="304">
        <v>163</v>
      </c>
      <c r="AL283" s="304">
        <v>165</v>
      </c>
      <c r="AM283" s="304">
        <v>175</v>
      </c>
      <c r="AN283" s="304">
        <v>193</v>
      </c>
      <c r="AO283" s="304">
        <v>230</v>
      </c>
      <c r="AP283" s="304">
        <v>305</v>
      </c>
      <c r="AQ283" s="304">
        <v>355</v>
      </c>
      <c r="AR283" s="304">
        <v>415</v>
      </c>
      <c r="AS283" s="497">
        <v>475</v>
      </c>
      <c r="AT283" s="496">
        <f t="shared" si="135"/>
        <v>88</v>
      </c>
      <c r="AU283" s="304">
        <f t="shared" si="136"/>
        <v>0</v>
      </c>
      <c r="AV283" s="304">
        <f t="shared" si="137"/>
        <v>0</v>
      </c>
      <c r="AW283" s="304">
        <f t="shared" si="138"/>
        <v>0</v>
      </c>
      <c r="AX283" s="304">
        <f t="shared" si="139"/>
        <v>0</v>
      </c>
      <c r="AY283" s="304">
        <f t="shared" si="140"/>
        <v>0</v>
      </c>
      <c r="AZ283" s="304">
        <f t="shared" si="141"/>
        <v>0</v>
      </c>
      <c r="BA283" s="304">
        <f t="shared" si="142"/>
        <v>0</v>
      </c>
      <c r="BB283" s="304">
        <f t="shared" si="143"/>
        <v>0</v>
      </c>
      <c r="BC283" s="304">
        <f t="shared" si="144"/>
        <v>0</v>
      </c>
      <c r="BD283" s="304">
        <f t="shared" si="145"/>
        <v>0</v>
      </c>
      <c r="BE283" s="304">
        <f t="shared" si="146"/>
        <v>0</v>
      </c>
      <c r="BF283" s="497">
        <f t="shared" si="147"/>
        <v>0</v>
      </c>
      <c r="BG283" s="496">
        <f t="shared" si="148"/>
        <v>18</v>
      </c>
      <c r="BH283" s="304" t="str">
        <f t="shared" si="149"/>
        <v/>
      </c>
      <c r="BI283" s="304" t="str">
        <f t="shared" si="150"/>
        <v/>
      </c>
      <c r="BJ283" s="304" t="str">
        <f t="shared" si="151"/>
        <v/>
      </c>
      <c r="BK283" s="304" t="str">
        <f t="shared" si="152"/>
        <v/>
      </c>
      <c r="BL283" s="304" t="str">
        <f t="shared" si="153"/>
        <v/>
      </c>
      <c r="BM283" s="304" t="str">
        <f t="shared" si="154"/>
        <v/>
      </c>
      <c r="BN283" s="304" t="str">
        <f t="shared" si="155"/>
        <v/>
      </c>
      <c r="BO283" s="304" t="str">
        <f t="shared" si="156"/>
        <v/>
      </c>
      <c r="BP283" s="304" t="str">
        <f t="shared" si="157"/>
        <v/>
      </c>
      <c r="BQ283" s="304" t="str">
        <f t="shared" si="158"/>
        <v/>
      </c>
      <c r="BR283" s="304" t="str">
        <f t="shared" si="159"/>
        <v/>
      </c>
      <c r="BS283" s="497" t="str">
        <f t="shared" si="160"/>
        <v/>
      </c>
      <c r="BT283" s="302"/>
      <c r="BU283" s="302"/>
    </row>
    <row r="284" spans="1:73">
      <c r="A284" s="302"/>
      <c r="B284" s="302"/>
      <c r="C284" s="325" t="s">
        <v>390</v>
      </c>
      <c r="D284" s="326">
        <v>115.557</v>
      </c>
      <c r="E284" s="326">
        <v>113.392</v>
      </c>
      <c r="F284" s="327">
        <f t="shared" si="115"/>
        <v>2.1650000000000063</v>
      </c>
      <c r="G284" s="325" t="s">
        <v>391</v>
      </c>
      <c r="H284" s="326">
        <v>114.485</v>
      </c>
      <c r="I284" s="326">
        <v>112.164</v>
      </c>
      <c r="J284" s="327">
        <f t="shared" si="116"/>
        <v>2.320999999999998</v>
      </c>
      <c r="K284" s="343">
        <f t="shared" si="117"/>
        <v>2.25</v>
      </c>
      <c r="L284" s="394">
        <v>21</v>
      </c>
      <c r="M284" s="394">
        <v>150</v>
      </c>
      <c r="N284" s="494">
        <f t="shared" si="118"/>
        <v>97</v>
      </c>
      <c r="O284" s="345">
        <v>106</v>
      </c>
      <c r="P284" s="346">
        <f t="shared" si="119"/>
        <v>0</v>
      </c>
      <c r="Q284" s="489">
        <f t="shared" si="120"/>
        <v>0</v>
      </c>
      <c r="R284" s="490" t="str">
        <f t="shared" si="121"/>
        <v/>
      </c>
      <c r="S284" s="490" t="str">
        <f t="shared" si="122"/>
        <v/>
      </c>
      <c r="T284" s="490" t="str">
        <f t="shared" si="123"/>
        <v/>
      </c>
      <c r="U284" s="490" t="str">
        <f t="shared" si="124"/>
        <v/>
      </c>
      <c r="V284" s="490" t="str">
        <f t="shared" si="125"/>
        <v/>
      </c>
      <c r="W284" s="490" t="str">
        <f t="shared" si="126"/>
        <v/>
      </c>
      <c r="X284" s="490" t="str">
        <f t="shared" si="127"/>
        <v/>
      </c>
      <c r="Y284" s="490" t="str">
        <f t="shared" si="128"/>
        <v/>
      </c>
      <c r="Z284" s="490" t="str">
        <f t="shared" si="129"/>
        <v/>
      </c>
      <c r="AA284" s="490" t="str">
        <f t="shared" si="130"/>
        <v/>
      </c>
      <c r="AB284" s="490" t="str">
        <f t="shared" si="131"/>
        <v/>
      </c>
      <c r="AC284" s="335" t="str">
        <f t="shared" si="132"/>
        <v/>
      </c>
      <c r="AD284" s="396"/>
      <c r="AE284" s="495">
        <f t="shared" si="133"/>
        <v>22.68</v>
      </c>
      <c r="AF284" s="495">
        <f t="shared" si="134"/>
        <v>13.23</v>
      </c>
      <c r="AG284" s="496">
        <v>97</v>
      </c>
      <c r="AH284" s="304">
        <v>120</v>
      </c>
      <c r="AI284" s="304">
        <v>136</v>
      </c>
      <c r="AJ284" s="304">
        <v>160</v>
      </c>
      <c r="AK284" s="304">
        <v>174</v>
      </c>
      <c r="AL284" s="304">
        <v>179</v>
      </c>
      <c r="AM284" s="304">
        <v>185</v>
      </c>
      <c r="AN284" s="304">
        <v>203</v>
      </c>
      <c r="AO284" s="304">
        <v>247</v>
      </c>
      <c r="AP284" s="304">
        <v>327</v>
      </c>
      <c r="AQ284" s="304">
        <v>377</v>
      </c>
      <c r="AR284" s="304">
        <v>437</v>
      </c>
      <c r="AS284" s="497">
        <v>497</v>
      </c>
      <c r="AT284" s="496">
        <f t="shared" si="135"/>
        <v>97</v>
      </c>
      <c r="AU284" s="304">
        <f t="shared" si="136"/>
        <v>0</v>
      </c>
      <c r="AV284" s="304">
        <f t="shared" si="137"/>
        <v>0</v>
      </c>
      <c r="AW284" s="304">
        <f t="shared" si="138"/>
        <v>0</v>
      </c>
      <c r="AX284" s="304">
        <f t="shared" si="139"/>
        <v>0</v>
      </c>
      <c r="AY284" s="304">
        <f t="shared" si="140"/>
        <v>0</v>
      </c>
      <c r="AZ284" s="304">
        <f t="shared" si="141"/>
        <v>0</v>
      </c>
      <c r="BA284" s="304">
        <f t="shared" si="142"/>
        <v>0</v>
      </c>
      <c r="BB284" s="304">
        <f t="shared" si="143"/>
        <v>0</v>
      </c>
      <c r="BC284" s="304">
        <f t="shared" si="144"/>
        <v>0</v>
      </c>
      <c r="BD284" s="304">
        <f t="shared" si="145"/>
        <v>0</v>
      </c>
      <c r="BE284" s="304">
        <f t="shared" si="146"/>
        <v>0</v>
      </c>
      <c r="BF284" s="497">
        <f t="shared" si="147"/>
        <v>0</v>
      </c>
      <c r="BG284" s="496">
        <f t="shared" si="148"/>
        <v>21</v>
      </c>
      <c r="BH284" s="304" t="str">
        <f t="shared" si="149"/>
        <v/>
      </c>
      <c r="BI284" s="304" t="str">
        <f t="shared" si="150"/>
        <v/>
      </c>
      <c r="BJ284" s="304" t="str">
        <f t="shared" si="151"/>
        <v/>
      </c>
      <c r="BK284" s="304" t="str">
        <f t="shared" si="152"/>
        <v/>
      </c>
      <c r="BL284" s="304" t="str">
        <f t="shared" si="153"/>
        <v/>
      </c>
      <c r="BM284" s="304" t="str">
        <f t="shared" si="154"/>
        <v/>
      </c>
      <c r="BN284" s="304" t="str">
        <f t="shared" si="155"/>
        <v/>
      </c>
      <c r="BO284" s="304" t="str">
        <f t="shared" si="156"/>
        <v/>
      </c>
      <c r="BP284" s="304" t="str">
        <f t="shared" si="157"/>
        <v/>
      </c>
      <c r="BQ284" s="304" t="str">
        <f t="shared" si="158"/>
        <v/>
      </c>
      <c r="BR284" s="304" t="str">
        <f t="shared" si="159"/>
        <v/>
      </c>
      <c r="BS284" s="497" t="str">
        <f t="shared" si="160"/>
        <v/>
      </c>
      <c r="BT284" s="302"/>
      <c r="BU284" s="302"/>
    </row>
    <row r="285" spans="1:73">
      <c r="A285" s="302"/>
      <c r="B285" s="302"/>
      <c r="C285" s="325" t="s">
        <v>391</v>
      </c>
      <c r="D285" s="326">
        <v>114.485</v>
      </c>
      <c r="E285" s="326">
        <v>112.164</v>
      </c>
      <c r="F285" s="327">
        <f t="shared" si="115"/>
        <v>2.320999999999998</v>
      </c>
      <c r="G285" s="325" t="s">
        <v>392</v>
      </c>
      <c r="H285" s="326">
        <v>113.4</v>
      </c>
      <c r="I285" s="326">
        <v>109</v>
      </c>
      <c r="J285" s="327">
        <f t="shared" si="116"/>
        <v>4.4000000000000057</v>
      </c>
      <c r="K285" s="343">
        <f t="shared" si="117"/>
        <v>3.5</v>
      </c>
      <c r="L285" s="394">
        <v>15</v>
      </c>
      <c r="M285" s="394">
        <v>150</v>
      </c>
      <c r="N285" s="494">
        <f t="shared" si="118"/>
        <v>165</v>
      </c>
      <c r="O285" s="345">
        <v>106</v>
      </c>
      <c r="P285" s="346">
        <f t="shared" si="119"/>
        <v>59</v>
      </c>
      <c r="Q285" s="489">
        <f t="shared" si="120"/>
        <v>885</v>
      </c>
      <c r="R285" s="490" t="str">
        <f t="shared" si="121"/>
        <v/>
      </c>
      <c r="S285" s="490" t="str">
        <f t="shared" si="122"/>
        <v/>
      </c>
      <c r="T285" s="490" t="str">
        <f t="shared" si="123"/>
        <v/>
      </c>
      <c r="U285" s="490" t="str">
        <f t="shared" si="124"/>
        <v/>
      </c>
      <c r="V285" s="490" t="str">
        <f t="shared" si="125"/>
        <v/>
      </c>
      <c r="W285" s="490" t="str">
        <f t="shared" si="126"/>
        <v/>
      </c>
      <c r="X285" s="490" t="str">
        <f t="shared" si="127"/>
        <v/>
      </c>
      <c r="Y285" s="490" t="str">
        <f t="shared" si="128"/>
        <v/>
      </c>
      <c r="Z285" s="490" t="str">
        <f t="shared" si="129"/>
        <v/>
      </c>
      <c r="AA285" s="490" t="str">
        <f t="shared" si="130"/>
        <v/>
      </c>
      <c r="AB285" s="490" t="str">
        <f t="shared" si="131"/>
        <v/>
      </c>
      <c r="AC285" s="335" t="str">
        <f t="shared" si="132"/>
        <v/>
      </c>
      <c r="AD285" s="396"/>
      <c r="AE285" s="495">
        <f t="shared" si="133"/>
        <v>27.45</v>
      </c>
      <c r="AF285" s="495">
        <f t="shared" si="134"/>
        <v>9.4499999999999993</v>
      </c>
      <c r="AG285" s="496">
        <v>165</v>
      </c>
      <c r="AH285" s="304">
        <v>195</v>
      </c>
      <c r="AI285" s="304">
        <v>219</v>
      </c>
      <c r="AJ285" s="304">
        <v>225</v>
      </c>
      <c r="AK285" s="304">
        <v>247</v>
      </c>
      <c r="AL285" s="304">
        <v>242</v>
      </c>
      <c r="AM285" s="304">
        <v>267</v>
      </c>
      <c r="AN285" s="304">
        <v>285</v>
      </c>
      <c r="AO285" s="304">
        <v>317</v>
      </c>
      <c r="AP285" s="304">
        <v>397</v>
      </c>
      <c r="AQ285" s="304">
        <v>447</v>
      </c>
      <c r="AR285" s="304">
        <v>560</v>
      </c>
      <c r="AS285" s="497">
        <v>620</v>
      </c>
      <c r="AT285" s="496">
        <f t="shared" si="135"/>
        <v>165</v>
      </c>
      <c r="AU285" s="304">
        <f t="shared" si="136"/>
        <v>0</v>
      </c>
      <c r="AV285" s="304">
        <f t="shared" si="137"/>
        <v>0</v>
      </c>
      <c r="AW285" s="304">
        <f t="shared" si="138"/>
        <v>0</v>
      </c>
      <c r="AX285" s="304">
        <f t="shared" si="139"/>
        <v>0</v>
      </c>
      <c r="AY285" s="304">
        <f t="shared" si="140"/>
        <v>0</v>
      </c>
      <c r="AZ285" s="304">
        <f t="shared" si="141"/>
        <v>0</v>
      </c>
      <c r="BA285" s="304">
        <f t="shared" si="142"/>
        <v>0</v>
      </c>
      <c r="BB285" s="304">
        <f t="shared" si="143"/>
        <v>0</v>
      </c>
      <c r="BC285" s="304">
        <f t="shared" si="144"/>
        <v>0</v>
      </c>
      <c r="BD285" s="304">
        <f t="shared" si="145"/>
        <v>0</v>
      </c>
      <c r="BE285" s="304">
        <f t="shared" si="146"/>
        <v>0</v>
      </c>
      <c r="BF285" s="497">
        <f t="shared" si="147"/>
        <v>0</v>
      </c>
      <c r="BG285" s="496">
        <f t="shared" si="148"/>
        <v>15</v>
      </c>
      <c r="BH285" s="304" t="str">
        <f t="shared" si="149"/>
        <v/>
      </c>
      <c r="BI285" s="304" t="str">
        <f t="shared" si="150"/>
        <v/>
      </c>
      <c r="BJ285" s="304" t="str">
        <f t="shared" si="151"/>
        <v/>
      </c>
      <c r="BK285" s="304" t="str">
        <f t="shared" si="152"/>
        <v/>
      </c>
      <c r="BL285" s="304" t="str">
        <f t="shared" si="153"/>
        <v/>
      </c>
      <c r="BM285" s="304" t="str">
        <f t="shared" si="154"/>
        <v/>
      </c>
      <c r="BN285" s="304" t="str">
        <f t="shared" si="155"/>
        <v/>
      </c>
      <c r="BO285" s="304" t="str">
        <f t="shared" si="156"/>
        <v/>
      </c>
      <c r="BP285" s="304" t="str">
        <f t="shared" si="157"/>
        <v/>
      </c>
      <c r="BQ285" s="304" t="str">
        <f t="shared" si="158"/>
        <v/>
      </c>
      <c r="BR285" s="304" t="str">
        <f t="shared" si="159"/>
        <v/>
      </c>
      <c r="BS285" s="497" t="str">
        <f t="shared" si="160"/>
        <v/>
      </c>
      <c r="BT285" s="302"/>
      <c r="BU285" s="302"/>
    </row>
    <row r="286" spans="1:73">
      <c r="A286" s="302"/>
      <c r="B286" s="302"/>
      <c r="C286" s="325" t="s">
        <v>392</v>
      </c>
      <c r="D286" s="326">
        <v>113.4</v>
      </c>
      <c r="E286" s="326">
        <v>109</v>
      </c>
      <c r="F286" s="327">
        <f t="shared" si="115"/>
        <v>4.4000000000000057</v>
      </c>
      <c r="G286" s="325" t="s">
        <v>393</v>
      </c>
      <c r="H286" s="326">
        <v>112.7</v>
      </c>
      <c r="I286" s="326">
        <v>107.5</v>
      </c>
      <c r="J286" s="327">
        <f t="shared" si="116"/>
        <v>5.2000000000000028</v>
      </c>
      <c r="K286" s="343">
        <f t="shared" si="117"/>
        <v>5</v>
      </c>
      <c r="L286" s="394">
        <v>16</v>
      </c>
      <c r="M286" s="394">
        <v>150</v>
      </c>
      <c r="N286" s="494">
        <f t="shared" si="118"/>
        <v>245</v>
      </c>
      <c r="O286" s="345">
        <v>106</v>
      </c>
      <c r="P286" s="346">
        <f t="shared" si="119"/>
        <v>139</v>
      </c>
      <c r="Q286" s="489">
        <f t="shared" si="120"/>
        <v>2224</v>
      </c>
      <c r="R286" s="490" t="str">
        <f t="shared" si="121"/>
        <v/>
      </c>
      <c r="S286" s="490" t="str">
        <f t="shared" si="122"/>
        <v/>
      </c>
      <c r="T286" s="490" t="str">
        <f t="shared" si="123"/>
        <v/>
      </c>
      <c r="U286" s="490" t="str">
        <f t="shared" si="124"/>
        <v/>
      </c>
      <c r="V286" s="490" t="str">
        <f t="shared" si="125"/>
        <v/>
      </c>
      <c r="W286" s="490" t="str">
        <f t="shared" si="126"/>
        <v/>
      </c>
      <c r="X286" s="490" t="str">
        <f t="shared" si="127"/>
        <v/>
      </c>
      <c r="Y286" s="490" t="str">
        <f t="shared" si="128"/>
        <v/>
      </c>
      <c r="Z286" s="490" t="str">
        <f t="shared" si="129"/>
        <v/>
      </c>
      <c r="AA286" s="490" t="str">
        <f t="shared" si="130"/>
        <v/>
      </c>
      <c r="AB286" s="490" t="str">
        <f t="shared" si="131"/>
        <v/>
      </c>
      <c r="AC286" s="335" t="str">
        <f t="shared" si="132"/>
        <v/>
      </c>
      <c r="AD286" s="396"/>
      <c r="AE286" s="495">
        <f t="shared" si="133"/>
        <v>43.68</v>
      </c>
      <c r="AF286" s="495">
        <f t="shared" si="134"/>
        <v>10.08</v>
      </c>
      <c r="AG286" s="496">
        <v>245</v>
      </c>
      <c r="AH286" s="304">
        <v>311</v>
      </c>
      <c r="AI286" s="304">
        <v>331</v>
      </c>
      <c r="AJ286" s="304">
        <v>356</v>
      </c>
      <c r="AK286" s="304">
        <v>361</v>
      </c>
      <c r="AL286" s="304">
        <v>357</v>
      </c>
      <c r="AM286" s="304">
        <v>369</v>
      </c>
      <c r="AN286" s="304">
        <v>387</v>
      </c>
      <c r="AO286" s="304">
        <v>431</v>
      </c>
      <c r="AP286" s="304">
        <v>511</v>
      </c>
      <c r="AQ286" s="304">
        <v>561</v>
      </c>
      <c r="AR286" s="304">
        <v>660</v>
      </c>
      <c r="AS286" s="497">
        <v>720</v>
      </c>
      <c r="AT286" s="496">
        <f t="shared" si="135"/>
        <v>245</v>
      </c>
      <c r="AU286" s="304">
        <f t="shared" si="136"/>
        <v>0</v>
      </c>
      <c r="AV286" s="304">
        <f t="shared" si="137"/>
        <v>0</v>
      </c>
      <c r="AW286" s="304">
        <f t="shared" si="138"/>
        <v>0</v>
      </c>
      <c r="AX286" s="304">
        <f t="shared" si="139"/>
        <v>0</v>
      </c>
      <c r="AY286" s="304">
        <f t="shared" si="140"/>
        <v>0</v>
      </c>
      <c r="AZ286" s="304">
        <f t="shared" si="141"/>
        <v>0</v>
      </c>
      <c r="BA286" s="304">
        <f t="shared" si="142"/>
        <v>0</v>
      </c>
      <c r="BB286" s="304">
        <f t="shared" si="143"/>
        <v>0</v>
      </c>
      <c r="BC286" s="304">
        <f t="shared" si="144"/>
        <v>0</v>
      </c>
      <c r="BD286" s="304">
        <f t="shared" si="145"/>
        <v>0</v>
      </c>
      <c r="BE286" s="304">
        <f t="shared" si="146"/>
        <v>0</v>
      </c>
      <c r="BF286" s="497">
        <f t="shared" si="147"/>
        <v>0</v>
      </c>
      <c r="BG286" s="496">
        <f t="shared" si="148"/>
        <v>16</v>
      </c>
      <c r="BH286" s="304" t="str">
        <f t="shared" si="149"/>
        <v/>
      </c>
      <c r="BI286" s="304" t="str">
        <f t="shared" si="150"/>
        <v/>
      </c>
      <c r="BJ286" s="304" t="str">
        <f t="shared" si="151"/>
        <v/>
      </c>
      <c r="BK286" s="304" t="str">
        <f t="shared" si="152"/>
        <v/>
      </c>
      <c r="BL286" s="304" t="str">
        <f t="shared" si="153"/>
        <v/>
      </c>
      <c r="BM286" s="304" t="str">
        <f t="shared" si="154"/>
        <v/>
      </c>
      <c r="BN286" s="304" t="str">
        <f t="shared" si="155"/>
        <v/>
      </c>
      <c r="BO286" s="304" t="str">
        <f t="shared" si="156"/>
        <v/>
      </c>
      <c r="BP286" s="304" t="str">
        <f t="shared" si="157"/>
        <v/>
      </c>
      <c r="BQ286" s="304" t="str">
        <f t="shared" si="158"/>
        <v/>
      </c>
      <c r="BR286" s="304" t="str">
        <f t="shared" si="159"/>
        <v/>
      </c>
      <c r="BS286" s="497" t="str">
        <f t="shared" si="160"/>
        <v/>
      </c>
      <c r="BT286" s="302"/>
      <c r="BU286" s="302"/>
    </row>
    <row r="287" spans="1:73">
      <c r="A287" s="302"/>
      <c r="B287" s="302"/>
      <c r="C287" s="325" t="s">
        <v>393</v>
      </c>
      <c r="D287" s="326">
        <v>112.7</v>
      </c>
      <c r="E287" s="326">
        <v>107.5</v>
      </c>
      <c r="F287" s="327">
        <f t="shared" si="115"/>
        <v>5.2000000000000028</v>
      </c>
      <c r="G287" s="325" t="s">
        <v>394</v>
      </c>
      <c r="H287" s="326">
        <v>111.6</v>
      </c>
      <c r="I287" s="326">
        <v>107.336</v>
      </c>
      <c r="J287" s="327">
        <f t="shared" si="116"/>
        <v>4.2639999999999958</v>
      </c>
      <c r="K287" s="343">
        <f t="shared" si="117"/>
        <v>4.75</v>
      </c>
      <c r="L287" s="394">
        <v>22</v>
      </c>
      <c r="M287" s="394">
        <v>150</v>
      </c>
      <c r="N287" s="494">
        <f t="shared" si="118"/>
        <v>240</v>
      </c>
      <c r="O287" s="345">
        <v>106</v>
      </c>
      <c r="P287" s="346">
        <f t="shared" si="119"/>
        <v>134</v>
      </c>
      <c r="Q287" s="489">
        <f t="shared" si="120"/>
        <v>2948</v>
      </c>
      <c r="R287" s="490" t="str">
        <f t="shared" si="121"/>
        <v/>
      </c>
      <c r="S287" s="490" t="str">
        <f t="shared" si="122"/>
        <v/>
      </c>
      <c r="T287" s="490" t="str">
        <f t="shared" si="123"/>
        <v/>
      </c>
      <c r="U287" s="490" t="str">
        <f t="shared" si="124"/>
        <v/>
      </c>
      <c r="V287" s="490" t="str">
        <f t="shared" si="125"/>
        <v/>
      </c>
      <c r="W287" s="490" t="str">
        <f t="shared" si="126"/>
        <v/>
      </c>
      <c r="X287" s="490" t="str">
        <f t="shared" si="127"/>
        <v/>
      </c>
      <c r="Y287" s="490" t="str">
        <f t="shared" si="128"/>
        <v/>
      </c>
      <c r="Z287" s="490" t="str">
        <f t="shared" si="129"/>
        <v/>
      </c>
      <c r="AA287" s="490" t="str">
        <f t="shared" si="130"/>
        <v/>
      </c>
      <c r="AB287" s="490" t="str">
        <f t="shared" si="131"/>
        <v/>
      </c>
      <c r="AC287" s="335" t="str">
        <f t="shared" si="132"/>
        <v/>
      </c>
      <c r="AD287" s="396"/>
      <c r="AE287" s="495">
        <f t="shared" si="133"/>
        <v>56.759999999999991</v>
      </c>
      <c r="AF287" s="495">
        <f t="shared" si="134"/>
        <v>13.86</v>
      </c>
      <c r="AG287" s="496">
        <v>240</v>
      </c>
      <c r="AH287" s="304">
        <v>296</v>
      </c>
      <c r="AI287" s="304">
        <v>311</v>
      </c>
      <c r="AJ287" s="304">
        <v>336</v>
      </c>
      <c r="AK287" s="304">
        <v>341</v>
      </c>
      <c r="AL287" s="304">
        <v>337</v>
      </c>
      <c r="AM287" s="304">
        <v>352</v>
      </c>
      <c r="AN287" s="304">
        <v>370</v>
      </c>
      <c r="AO287" s="304">
        <v>414</v>
      </c>
      <c r="AP287" s="304">
        <v>494</v>
      </c>
      <c r="AQ287" s="304">
        <v>544</v>
      </c>
      <c r="AR287" s="304">
        <v>643</v>
      </c>
      <c r="AS287" s="497">
        <v>703</v>
      </c>
      <c r="AT287" s="496">
        <f t="shared" si="135"/>
        <v>240</v>
      </c>
      <c r="AU287" s="304">
        <f t="shared" si="136"/>
        <v>0</v>
      </c>
      <c r="AV287" s="304">
        <f t="shared" si="137"/>
        <v>0</v>
      </c>
      <c r="AW287" s="304">
        <f t="shared" si="138"/>
        <v>0</v>
      </c>
      <c r="AX287" s="304">
        <f t="shared" si="139"/>
        <v>0</v>
      </c>
      <c r="AY287" s="304">
        <f t="shared" si="140"/>
        <v>0</v>
      </c>
      <c r="AZ287" s="304">
        <f t="shared" si="141"/>
        <v>0</v>
      </c>
      <c r="BA287" s="304">
        <f t="shared" si="142"/>
        <v>0</v>
      </c>
      <c r="BB287" s="304">
        <f t="shared" si="143"/>
        <v>0</v>
      </c>
      <c r="BC287" s="304">
        <f t="shared" si="144"/>
        <v>0</v>
      </c>
      <c r="BD287" s="304">
        <f t="shared" si="145"/>
        <v>0</v>
      </c>
      <c r="BE287" s="304">
        <f t="shared" si="146"/>
        <v>0</v>
      </c>
      <c r="BF287" s="497">
        <f t="shared" si="147"/>
        <v>0</v>
      </c>
      <c r="BG287" s="496">
        <f t="shared" si="148"/>
        <v>22</v>
      </c>
      <c r="BH287" s="304" t="str">
        <f t="shared" si="149"/>
        <v/>
      </c>
      <c r="BI287" s="304" t="str">
        <f t="shared" si="150"/>
        <v/>
      </c>
      <c r="BJ287" s="304" t="str">
        <f t="shared" si="151"/>
        <v/>
      </c>
      <c r="BK287" s="304" t="str">
        <f t="shared" si="152"/>
        <v/>
      </c>
      <c r="BL287" s="304" t="str">
        <f t="shared" si="153"/>
        <v/>
      </c>
      <c r="BM287" s="304" t="str">
        <f t="shared" si="154"/>
        <v/>
      </c>
      <c r="BN287" s="304" t="str">
        <f t="shared" si="155"/>
        <v/>
      </c>
      <c r="BO287" s="304" t="str">
        <f t="shared" si="156"/>
        <v/>
      </c>
      <c r="BP287" s="304" t="str">
        <f t="shared" si="157"/>
        <v/>
      </c>
      <c r="BQ287" s="304" t="str">
        <f t="shared" si="158"/>
        <v/>
      </c>
      <c r="BR287" s="304" t="str">
        <f t="shared" si="159"/>
        <v/>
      </c>
      <c r="BS287" s="497" t="str">
        <f t="shared" si="160"/>
        <v/>
      </c>
      <c r="BT287" s="302"/>
      <c r="BU287" s="302"/>
    </row>
    <row r="288" spans="1:73">
      <c r="A288" s="302"/>
      <c r="B288" s="302"/>
      <c r="C288" s="325" t="s">
        <v>394</v>
      </c>
      <c r="D288" s="326">
        <v>111.6</v>
      </c>
      <c r="E288" s="326">
        <v>107.336</v>
      </c>
      <c r="F288" s="327">
        <f t="shared" si="115"/>
        <v>4.2639999999999958</v>
      </c>
      <c r="G288" s="325" t="s">
        <v>395</v>
      </c>
      <c r="H288" s="326">
        <v>111.2</v>
      </c>
      <c r="I288" s="326">
        <v>107.16200000000001</v>
      </c>
      <c r="J288" s="327">
        <f t="shared" si="116"/>
        <v>4.0379999999999967</v>
      </c>
      <c r="K288" s="343">
        <f t="shared" si="117"/>
        <v>4.25</v>
      </c>
      <c r="L288" s="394">
        <v>24</v>
      </c>
      <c r="M288" s="394">
        <v>150</v>
      </c>
      <c r="N288" s="494">
        <f t="shared" si="118"/>
        <v>204</v>
      </c>
      <c r="O288" s="345">
        <v>106</v>
      </c>
      <c r="P288" s="346">
        <f t="shared" si="119"/>
        <v>98</v>
      </c>
      <c r="Q288" s="489">
        <f t="shared" si="120"/>
        <v>2352</v>
      </c>
      <c r="R288" s="490" t="str">
        <f t="shared" si="121"/>
        <v/>
      </c>
      <c r="S288" s="490" t="str">
        <f t="shared" si="122"/>
        <v/>
      </c>
      <c r="T288" s="490" t="str">
        <f t="shared" si="123"/>
        <v/>
      </c>
      <c r="U288" s="490" t="str">
        <f t="shared" si="124"/>
        <v/>
      </c>
      <c r="V288" s="490" t="str">
        <f t="shared" si="125"/>
        <v/>
      </c>
      <c r="W288" s="490" t="str">
        <f t="shared" si="126"/>
        <v/>
      </c>
      <c r="X288" s="490" t="str">
        <f t="shared" si="127"/>
        <v/>
      </c>
      <c r="Y288" s="490" t="str">
        <f t="shared" si="128"/>
        <v/>
      </c>
      <c r="Z288" s="490" t="str">
        <f t="shared" si="129"/>
        <v/>
      </c>
      <c r="AA288" s="490" t="str">
        <f t="shared" si="130"/>
        <v/>
      </c>
      <c r="AB288" s="490" t="str">
        <f t="shared" si="131"/>
        <v/>
      </c>
      <c r="AC288" s="335" t="str">
        <f t="shared" si="132"/>
        <v/>
      </c>
      <c r="AD288" s="396"/>
      <c r="AE288" s="495">
        <f t="shared" si="133"/>
        <v>54.72</v>
      </c>
      <c r="AF288" s="495">
        <f t="shared" si="134"/>
        <v>15.120000000000001</v>
      </c>
      <c r="AG288" s="496">
        <v>204</v>
      </c>
      <c r="AH288" s="304">
        <v>240</v>
      </c>
      <c r="AI288" s="304">
        <v>271</v>
      </c>
      <c r="AJ288" s="304">
        <v>285</v>
      </c>
      <c r="AK288" s="304">
        <v>289</v>
      </c>
      <c r="AL288" s="304">
        <v>291</v>
      </c>
      <c r="AM288" s="304">
        <v>318</v>
      </c>
      <c r="AN288" s="304">
        <v>336</v>
      </c>
      <c r="AO288" s="304">
        <v>380</v>
      </c>
      <c r="AP288" s="304">
        <v>460</v>
      </c>
      <c r="AQ288" s="304">
        <v>510</v>
      </c>
      <c r="AR288" s="304">
        <v>609</v>
      </c>
      <c r="AS288" s="497">
        <v>669</v>
      </c>
      <c r="AT288" s="496">
        <f t="shared" si="135"/>
        <v>204</v>
      </c>
      <c r="AU288" s="304">
        <f t="shared" si="136"/>
        <v>0</v>
      </c>
      <c r="AV288" s="304">
        <f t="shared" si="137"/>
        <v>0</v>
      </c>
      <c r="AW288" s="304">
        <f t="shared" si="138"/>
        <v>0</v>
      </c>
      <c r="AX288" s="304">
        <f t="shared" si="139"/>
        <v>0</v>
      </c>
      <c r="AY288" s="304">
        <f t="shared" si="140"/>
        <v>0</v>
      </c>
      <c r="AZ288" s="304">
        <f t="shared" si="141"/>
        <v>0</v>
      </c>
      <c r="BA288" s="304">
        <f t="shared" si="142"/>
        <v>0</v>
      </c>
      <c r="BB288" s="304">
        <f t="shared" si="143"/>
        <v>0</v>
      </c>
      <c r="BC288" s="304">
        <f t="shared" si="144"/>
        <v>0</v>
      </c>
      <c r="BD288" s="304">
        <f t="shared" si="145"/>
        <v>0</v>
      </c>
      <c r="BE288" s="304">
        <f t="shared" si="146"/>
        <v>0</v>
      </c>
      <c r="BF288" s="497">
        <f t="shared" si="147"/>
        <v>0</v>
      </c>
      <c r="BG288" s="496">
        <f t="shared" si="148"/>
        <v>24</v>
      </c>
      <c r="BH288" s="304" t="str">
        <f t="shared" si="149"/>
        <v/>
      </c>
      <c r="BI288" s="304" t="str">
        <f t="shared" si="150"/>
        <v/>
      </c>
      <c r="BJ288" s="304" t="str">
        <f t="shared" si="151"/>
        <v/>
      </c>
      <c r="BK288" s="304" t="str">
        <f t="shared" si="152"/>
        <v/>
      </c>
      <c r="BL288" s="304" t="str">
        <f t="shared" si="153"/>
        <v/>
      </c>
      <c r="BM288" s="304" t="str">
        <f t="shared" si="154"/>
        <v/>
      </c>
      <c r="BN288" s="304" t="str">
        <f t="shared" si="155"/>
        <v/>
      </c>
      <c r="BO288" s="304" t="str">
        <f t="shared" si="156"/>
        <v/>
      </c>
      <c r="BP288" s="304" t="str">
        <f t="shared" si="157"/>
        <v/>
      </c>
      <c r="BQ288" s="304" t="str">
        <f t="shared" si="158"/>
        <v/>
      </c>
      <c r="BR288" s="304" t="str">
        <f t="shared" si="159"/>
        <v/>
      </c>
      <c r="BS288" s="497" t="str">
        <f t="shared" si="160"/>
        <v/>
      </c>
      <c r="BT288" s="302"/>
      <c r="BU288" s="302"/>
    </row>
    <row r="289" spans="1:73">
      <c r="A289" s="302"/>
      <c r="B289" s="302"/>
      <c r="C289" s="325" t="s">
        <v>395</v>
      </c>
      <c r="D289" s="326">
        <v>111.2</v>
      </c>
      <c r="E289" s="326">
        <v>107.16200000000001</v>
      </c>
      <c r="F289" s="327">
        <f t="shared" si="115"/>
        <v>4.0379999999999967</v>
      </c>
      <c r="G289" s="325" t="s">
        <v>396</v>
      </c>
      <c r="H289" s="326">
        <v>108.848</v>
      </c>
      <c r="I289" s="326">
        <v>106.887</v>
      </c>
      <c r="J289" s="327">
        <f t="shared" si="116"/>
        <v>1.9609999999999985</v>
      </c>
      <c r="K289" s="343">
        <f t="shared" si="117"/>
        <v>3</v>
      </c>
      <c r="L289" s="394">
        <v>37</v>
      </c>
      <c r="M289" s="394">
        <v>150</v>
      </c>
      <c r="N289" s="494">
        <f t="shared" si="118"/>
        <v>125</v>
      </c>
      <c r="O289" s="345">
        <v>106</v>
      </c>
      <c r="P289" s="346">
        <f t="shared" si="119"/>
        <v>19</v>
      </c>
      <c r="Q289" s="489">
        <f t="shared" si="120"/>
        <v>703</v>
      </c>
      <c r="R289" s="490" t="str">
        <f t="shared" si="121"/>
        <v/>
      </c>
      <c r="S289" s="490" t="str">
        <f t="shared" si="122"/>
        <v/>
      </c>
      <c r="T289" s="490" t="str">
        <f t="shared" si="123"/>
        <v/>
      </c>
      <c r="U289" s="490" t="str">
        <f t="shared" si="124"/>
        <v/>
      </c>
      <c r="V289" s="490" t="str">
        <f t="shared" si="125"/>
        <v/>
      </c>
      <c r="W289" s="490" t="str">
        <f t="shared" si="126"/>
        <v/>
      </c>
      <c r="X289" s="490" t="str">
        <f t="shared" si="127"/>
        <v/>
      </c>
      <c r="Y289" s="490" t="str">
        <f t="shared" si="128"/>
        <v/>
      </c>
      <c r="Z289" s="490" t="str">
        <f t="shared" si="129"/>
        <v/>
      </c>
      <c r="AA289" s="490" t="str">
        <f t="shared" si="130"/>
        <v/>
      </c>
      <c r="AB289" s="490" t="str">
        <f t="shared" si="131"/>
        <v/>
      </c>
      <c r="AC289" s="335" t="str">
        <f t="shared" si="132"/>
        <v/>
      </c>
      <c r="AD289" s="396"/>
      <c r="AE289" s="495">
        <f t="shared" si="133"/>
        <v>56.609999999999992</v>
      </c>
      <c r="AF289" s="495">
        <f t="shared" si="134"/>
        <v>23.31</v>
      </c>
      <c r="AG289" s="496">
        <v>125</v>
      </c>
      <c r="AH289" s="304">
        <v>154</v>
      </c>
      <c r="AI289" s="304">
        <v>171</v>
      </c>
      <c r="AJ289" s="304">
        <v>200</v>
      </c>
      <c r="AK289" s="304">
        <v>218</v>
      </c>
      <c r="AL289" s="304">
        <v>221</v>
      </c>
      <c r="AM289" s="304">
        <v>233</v>
      </c>
      <c r="AN289" s="304">
        <v>251</v>
      </c>
      <c r="AO289" s="304">
        <v>281</v>
      </c>
      <c r="AP289" s="304">
        <v>361</v>
      </c>
      <c r="AQ289" s="304">
        <v>411</v>
      </c>
      <c r="AR289" s="304">
        <v>496</v>
      </c>
      <c r="AS289" s="497">
        <v>556</v>
      </c>
      <c r="AT289" s="496">
        <f t="shared" si="135"/>
        <v>125</v>
      </c>
      <c r="AU289" s="304">
        <f t="shared" si="136"/>
        <v>0</v>
      </c>
      <c r="AV289" s="304">
        <f t="shared" si="137"/>
        <v>0</v>
      </c>
      <c r="AW289" s="304">
        <f t="shared" si="138"/>
        <v>0</v>
      </c>
      <c r="AX289" s="304">
        <f t="shared" si="139"/>
        <v>0</v>
      </c>
      <c r="AY289" s="304">
        <f t="shared" si="140"/>
        <v>0</v>
      </c>
      <c r="AZ289" s="304">
        <f t="shared" si="141"/>
        <v>0</v>
      </c>
      <c r="BA289" s="304">
        <f t="shared" si="142"/>
        <v>0</v>
      </c>
      <c r="BB289" s="304">
        <f t="shared" si="143"/>
        <v>0</v>
      </c>
      <c r="BC289" s="304">
        <f t="shared" si="144"/>
        <v>0</v>
      </c>
      <c r="BD289" s="304">
        <f t="shared" si="145"/>
        <v>0</v>
      </c>
      <c r="BE289" s="304">
        <f t="shared" si="146"/>
        <v>0</v>
      </c>
      <c r="BF289" s="497">
        <f t="shared" si="147"/>
        <v>0</v>
      </c>
      <c r="BG289" s="496">
        <f t="shared" si="148"/>
        <v>37</v>
      </c>
      <c r="BH289" s="304" t="str">
        <f t="shared" si="149"/>
        <v/>
      </c>
      <c r="BI289" s="304" t="str">
        <f t="shared" si="150"/>
        <v/>
      </c>
      <c r="BJ289" s="304" t="str">
        <f t="shared" si="151"/>
        <v/>
      </c>
      <c r="BK289" s="304" t="str">
        <f t="shared" si="152"/>
        <v/>
      </c>
      <c r="BL289" s="304" t="str">
        <f t="shared" si="153"/>
        <v/>
      </c>
      <c r="BM289" s="304" t="str">
        <f t="shared" si="154"/>
        <v/>
      </c>
      <c r="BN289" s="304" t="str">
        <f t="shared" si="155"/>
        <v/>
      </c>
      <c r="BO289" s="304" t="str">
        <f t="shared" si="156"/>
        <v/>
      </c>
      <c r="BP289" s="304" t="str">
        <f t="shared" si="157"/>
        <v/>
      </c>
      <c r="BQ289" s="304" t="str">
        <f t="shared" si="158"/>
        <v/>
      </c>
      <c r="BR289" s="304" t="str">
        <f t="shared" si="159"/>
        <v/>
      </c>
      <c r="BS289" s="497" t="str">
        <f t="shared" si="160"/>
        <v/>
      </c>
      <c r="BT289" s="302"/>
      <c r="BU289" s="302"/>
    </row>
    <row r="290" spans="1:73">
      <c r="A290" s="302"/>
      <c r="B290" s="302"/>
      <c r="C290" s="325" t="s">
        <v>396</v>
      </c>
      <c r="D290" s="326">
        <v>108.848</v>
      </c>
      <c r="E290" s="326">
        <v>106.887</v>
      </c>
      <c r="F290" s="327">
        <f t="shared" si="115"/>
        <v>1.9609999999999985</v>
      </c>
      <c r="G290" s="325" t="s">
        <v>397</v>
      </c>
      <c r="H290" s="326">
        <v>107.751</v>
      </c>
      <c r="I290" s="326">
        <v>105.79</v>
      </c>
      <c r="J290" s="327">
        <f t="shared" si="116"/>
        <v>1.9609999999999985</v>
      </c>
      <c r="K290" s="343">
        <f t="shared" si="117"/>
        <v>2</v>
      </c>
      <c r="L290" s="394">
        <v>23</v>
      </c>
      <c r="M290" s="394">
        <v>150</v>
      </c>
      <c r="N290" s="494">
        <f t="shared" si="118"/>
        <v>88</v>
      </c>
      <c r="O290" s="345">
        <v>106</v>
      </c>
      <c r="P290" s="346">
        <f t="shared" si="119"/>
        <v>0</v>
      </c>
      <c r="Q290" s="489">
        <f t="shared" si="120"/>
        <v>0</v>
      </c>
      <c r="R290" s="490" t="str">
        <f t="shared" si="121"/>
        <v/>
      </c>
      <c r="S290" s="490" t="str">
        <f t="shared" si="122"/>
        <v/>
      </c>
      <c r="T290" s="490" t="str">
        <f t="shared" si="123"/>
        <v/>
      </c>
      <c r="U290" s="490" t="str">
        <f t="shared" si="124"/>
        <v/>
      </c>
      <c r="V290" s="490" t="str">
        <f t="shared" si="125"/>
        <v/>
      </c>
      <c r="W290" s="490" t="str">
        <f t="shared" si="126"/>
        <v/>
      </c>
      <c r="X290" s="490" t="str">
        <f t="shared" si="127"/>
        <v/>
      </c>
      <c r="Y290" s="490" t="str">
        <f t="shared" si="128"/>
        <v/>
      </c>
      <c r="Z290" s="490" t="str">
        <f t="shared" si="129"/>
        <v/>
      </c>
      <c r="AA290" s="490" t="str">
        <f t="shared" si="130"/>
        <v/>
      </c>
      <c r="AB290" s="490" t="str">
        <f t="shared" si="131"/>
        <v/>
      </c>
      <c r="AC290" s="335" t="str">
        <f t="shared" si="132"/>
        <v/>
      </c>
      <c r="AD290" s="396"/>
      <c r="AE290" s="495">
        <f t="shared" si="133"/>
        <v>21.389999999999997</v>
      </c>
      <c r="AF290" s="495">
        <f t="shared" si="134"/>
        <v>14.49</v>
      </c>
      <c r="AG290" s="496">
        <v>88</v>
      </c>
      <c r="AH290" s="304">
        <v>109</v>
      </c>
      <c r="AI290" s="304">
        <v>126</v>
      </c>
      <c r="AJ290" s="304">
        <v>149</v>
      </c>
      <c r="AK290" s="304">
        <v>163</v>
      </c>
      <c r="AL290" s="304">
        <v>165</v>
      </c>
      <c r="AM290" s="304">
        <v>175</v>
      </c>
      <c r="AN290" s="304">
        <v>193</v>
      </c>
      <c r="AO290" s="304">
        <v>230</v>
      </c>
      <c r="AP290" s="304">
        <v>305</v>
      </c>
      <c r="AQ290" s="304">
        <v>355</v>
      </c>
      <c r="AR290" s="304">
        <v>415</v>
      </c>
      <c r="AS290" s="497">
        <v>475</v>
      </c>
      <c r="AT290" s="496">
        <f t="shared" si="135"/>
        <v>88</v>
      </c>
      <c r="AU290" s="304">
        <f t="shared" si="136"/>
        <v>0</v>
      </c>
      <c r="AV290" s="304">
        <f t="shared" si="137"/>
        <v>0</v>
      </c>
      <c r="AW290" s="304">
        <f t="shared" si="138"/>
        <v>0</v>
      </c>
      <c r="AX290" s="304">
        <f t="shared" si="139"/>
        <v>0</v>
      </c>
      <c r="AY290" s="304">
        <f t="shared" si="140"/>
        <v>0</v>
      </c>
      <c r="AZ290" s="304">
        <f t="shared" si="141"/>
        <v>0</v>
      </c>
      <c r="BA290" s="304">
        <f t="shared" si="142"/>
        <v>0</v>
      </c>
      <c r="BB290" s="304">
        <f t="shared" si="143"/>
        <v>0</v>
      </c>
      <c r="BC290" s="304">
        <f t="shared" si="144"/>
        <v>0</v>
      </c>
      <c r="BD290" s="304">
        <f t="shared" si="145"/>
        <v>0</v>
      </c>
      <c r="BE290" s="304">
        <f t="shared" si="146"/>
        <v>0</v>
      </c>
      <c r="BF290" s="497">
        <f t="shared" si="147"/>
        <v>0</v>
      </c>
      <c r="BG290" s="496">
        <f t="shared" si="148"/>
        <v>23</v>
      </c>
      <c r="BH290" s="304" t="str">
        <f t="shared" si="149"/>
        <v/>
      </c>
      <c r="BI290" s="304" t="str">
        <f t="shared" si="150"/>
        <v/>
      </c>
      <c r="BJ290" s="304" t="str">
        <f t="shared" si="151"/>
        <v/>
      </c>
      <c r="BK290" s="304" t="str">
        <f t="shared" si="152"/>
        <v/>
      </c>
      <c r="BL290" s="304" t="str">
        <f t="shared" si="153"/>
        <v/>
      </c>
      <c r="BM290" s="304" t="str">
        <f t="shared" si="154"/>
        <v/>
      </c>
      <c r="BN290" s="304" t="str">
        <f t="shared" si="155"/>
        <v/>
      </c>
      <c r="BO290" s="304" t="str">
        <f t="shared" si="156"/>
        <v/>
      </c>
      <c r="BP290" s="304" t="str">
        <f t="shared" si="157"/>
        <v/>
      </c>
      <c r="BQ290" s="304" t="str">
        <f t="shared" si="158"/>
        <v/>
      </c>
      <c r="BR290" s="304" t="str">
        <f t="shared" si="159"/>
        <v/>
      </c>
      <c r="BS290" s="497" t="str">
        <f t="shared" si="160"/>
        <v/>
      </c>
      <c r="BT290" s="302"/>
      <c r="BU290" s="302"/>
    </row>
    <row r="291" spans="1:73">
      <c r="A291" s="302"/>
      <c r="B291" s="302"/>
      <c r="C291" s="325" t="s">
        <v>397</v>
      </c>
      <c r="D291" s="326">
        <v>107.751</v>
      </c>
      <c r="E291" s="326">
        <v>105.79</v>
      </c>
      <c r="F291" s="327">
        <f t="shared" si="115"/>
        <v>1.9609999999999985</v>
      </c>
      <c r="G291" s="325" t="s">
        <v>398</v>
      </c>
      <c r="H291" s="326">
        <v>107.56699999999999</v>
      </c>
      <c r="I291" s="326">
        <v>105.79</v>
      </c>
      <c r="J291" s="327">
        <f t="shared" si="116"/>
        <v>1.7769999999999868</v>
      </c>
      <c r="K291" s="343">
        <f t="shared" si="117"/>
        <v>2</v>
      </c>
      <c r="L291" s="394">
        <v>5</v>
      </c>
      <c r="M291" s="394">
        <v>150</v>
      </c>
      <c r="N291" s="494">
        <f t="shared" si="118"/>
        <v>88</v>
      </c>
      <c r="O291" s="345">
        <v>106</v>
      </c>
      <c r="P291" s="346">
        <f t="shared" si="119"/>
        <v>0</v>
      </c>
      <c r="Q291" s="489">
        <f t="shared" si="120"/>
        <v>0</v>
      </c>
      <c r="R291" s="490" t="str">
        <f t="shared" si="121"/>
        <v/>
      </c>
      <c r="S291" s="490" t="str">
        <f t="shared" si="122"/>
        <v/>
      </c>
      <c r="T291" s="490" t="str">
        <f t="shared" si="123"/>
        <v/>
      </c>
      <c r="U291" s="490" t="str">
        <f t="shared" si="124"/>
        <v/>
      </c>
      <c r="V291" s="490" t="str">
        <f t="shared" si="125"/>
        <v/>
      </c>
      <c r="W291" s="490" t="str">
        <f t="shared" si="126"/>
        <v/>
      </c>
      <c r="X291" s="490" t="str">
        <f t="shared" si="127"/>
        <v/>
      </c>
      <c r="Y291" s="490" t="str">
        <f t="shared" si="128"/>
        <v/>
      </c>
      <c r="Z291" s="490" t="str">
        <f t="shared" si="129"/>
        <v/>
      </c>
      <c r="AA291" s="490" t="str">
        <f t="shared" si="130"/>
        <v/>
      </c>
      <c r="AB291" s="490" t="str">
        <f t="shared" si="131"/>
        <v/>
      </c>
      <c r="AC291" s="335" t="str">
        <f t="shared" si="132"/>
        <v/>
      </c>
      <c r="AD291" s="396"/>
      <c r="AE291" s="495">
        <f t="shared" si="133"/>
        <v>4.6499999999999995</v>
      </c>
      <c r="AF291" s="495">
        <f t="shared" si="134"/>
        <v>3.15</v>
      </c>
      <c r="AG291" s="496">
        <v>88</v>
      </c>
      <c r="AH291" s="304">
        <v>109</v>
      </c>
      <c r="AI291" s="304">
        <v>126</v>
      </c>
      <c r="AJ291" s="304">
        <v>149</v>
      </c>
      <c r="AK291" s="304">
        <v>163</v>
      </c>
      <c r="AL291" s="304">
        <v>165</v>
      </c>
      <c r="AM291" s="304">
        <v>175</v>
      </c>
      <c r="AN291" s="304">
        <v>193</v>
      </c>
      <c r="AO291" s="304">
        <v>230</v>
      </c>
      <c r="AP291" s="304">
        <v>305</v>
      </c>
      <c r="AQ291" s="304">
        <v>355</v>
      </c>
      <c r="AR291" s="304">
        <v>415</v>
      </c>
      <c r="AS291" s="497">
        <v>475</v>
      </c>
      <c r="AT291" s="496">
        <f t="shared" si="135"/>
        <v>88</v>
      </c>
      <c r="AU291" s="304">
        <f t="shared" si="136"/>
        <v>0</v>
      </c>
      <c r="AV291" s="304">
        <f t="shared" si="137"/>
        <v>0</v>
      </c>
      <c r="AW291" s="304">
        <f t="shared" si="138"/>
        <v>0</v>
      </c>
      <c r="AX291" s="304">
        <f t="shared" si="139"/>
        <v>0</v>
      </c>
      <c r="AY291" s="304">
        <f t="shared" si="140"/>
        <v>0</v>
      </c>
      <c r="AZ291" s="304">
        <f t="shared" si="141"/>
        <v>0</v>
      </c>
      <c r="BA291" s="304">
        <f t="shared" si="142"/>
        <v>0</v>
      </c>
      <c r="BB291" s="304">
        <f t="shared" si="143"/>
        <v>0</v>
      </c>
      <c r="BC291" s="304">
        <f t="shared" si="144"/>
        <v>0</v>
      </c>
      <c r="BD291" s="304">
        <f t="shared" si="145"/>
        <v>0</v>
      </c>
      <c r="BE291" s="304">
        <f t="shared" si="146"/>
        <v>0</v>
      </c>
      <c r="BF291" s="497">
        <f t="shared" si="147"/>
        <v>0</v>
      </c>
      <c r="BG291" s="496">
        <f t="shared" si="148"/>
        <v>5</v>
      </c>
      <c r="BH291" s="304" t="str">
        <f t="shared" si="149"/>
        <v/>
      </c>
      <c r="BI291" s="304" t="str">
        <f t="shared" si="150"/>
        <v/>
      </c>
      <c r="BJ291" s="304" t="str">
        <f t="shared" si="151"/>
        <v/>
      </c>
      <c r="BK291" s="304" t="str">
        <f t="shared" si="152"/>
        <v/>
      </c>
      <c r="BL291" s="304" t="str">
        <f t="shared" si="153"/>
        <v/>
      </c>
      <c r="BM291" s="304" t="str">
        <f t="shared" si="154"/>
        <v/>
      </c>
      <c r="BN291" s="304" t="str">
        <f t="shared" si="155"/>
        <v/>
      </c>
      <c r="BO291" s="304" t="str">
        <f t="shared" si="156"/>
        <v/>
      </c>
      <c r="BP291" s="304" t="str">
        <f t="shared" si="157"/>
        <v/>
      </c>
      <c r="BQ291" s="304" t="str">
        <f t="shared" si="158"/>
        <v/>
      </c>
      <c r="BR291" s="304" t="str">
        <f t="shared" si="159"/>
        <v/>
      </c>
      <c r="BS291" s="497" t="str">
        <f t="shared" si="160"/>
        <v/>
      </c>
      <c r="BT291" s="302"/>
      <c r="BU291" s="302"/>
    </row>
    <row r="292" spans="1:73">
      <c r="A292" s="302"/>
      <c r="B292" s="302"/>
      <c r="C292" s="325" t="s">
        <v>398</v>
      </c>
      <c r="D292" s="326">
        <v>107.56699999999999</v>
      </c>
      <c r="E292" s="326">
        <v>105.79</v>
      </c>
      <c r="F292" s="327">
        <f t="shared" si="115"/>
        <v>1.7769999999999868</v>
      </c>
      <c r="G292" s="325" t="s">
        <v>399</v>
      </c>
      <c r="H292" s="326">
        <v>107.5</v>
      </c>
      <c r="I292" s="326">
        <v>105.69799999999999</v>
      </c>
      <c r="J292" s="327">
        <f t="shared" si="116"/>
        <v>1.8020000000000067</v>
      </c>
      <c r="K292" s="343">
        <f t="shared" si="117"/>
        <v>2</v>
      </c>
      <c r="L292" s="394">
        <v>9</v>
      </c>
      <c r="M292" s="394">
        <v>150</v>
      </c>
      <c r="N292" s="494">
        <f t="shared" si="118"/>
        <v>88</v>
      </c>
      <c r="O292" s="345">
        <v>106</v>
      </c>
      <c r="P292" s="346">
        <f t="shared" si="119"/>
        <v>0</v>
      </c>
      <c r="Q292" s="489">
        <f t="shared" si="120"/>
        <v>0</v>
      </c>
      <c r="R292" s="490" t="str">
        <f t="shared" si="121"/>
        <v/>
      </c>
      <c r="S292" s="490" t="str">
        <f t="shared" si="122"/>
        <v/>
      </c>
      <c r="T292" s="490" t="str">
        <f t="shared" si="123"/>
        <v/>
      </c>
      <c r="U292" s="490" t="str">
        <f t="shared" si="124"/>
        <v/>
      </c>
      <c r="V292" s="490" t="str">
        <f t="shared" si="125"/>
        <v/>
      </c>
      <c r="W292" s="490" t="str">
        <f t="shared" si="126"/>
        <v/>
      </c>
      <c r="X292" s="490" t="str">
        <f t="shared" si="127"/>
        <v/>
      </c>
      <c r="Y292" s="490" t="str">
        <f t="shared" si="128"/>
        <v/>
      </c>
      <c r="Z292" s="490" t="str">
        <f t="shared" si="129"/>
        <v/>
      </c>
      <c r="AA292" s="490" t="str">
        <f t="shared" si="130"/>
        <v/>
      </c>
      <c r="AB292" s="490" t="str">
        <f t="shared" si="131"/>
        <v/>
      </c>
      <c r="AC292" s="335" t="str">
        <f t="shared" si="132"/>
        <v/>
      </c>
      <c r="AD292" s="396"/>
      <c r="AE292" s="495">
        <f t="shared" si="133"/>
        <v>8.3699999999999992</v>
      </c>
      <c r="AF292" s="495">
        <f t="shared" si="134"/>
        <v>5.67</v>
      </c>
      <c r="AG292" s="496">
        <v>88</v>
      </c>
      <c r="AH292" s="304">
        <v>109</v>
      </c>
      <c r="AI292" s="304">
        <v>126</v>
      </c>
      <c r="AJ292" s="304">
        <v>149</v>
      </c>
      <c r="AK292" s="304">
        <v>163</v>
      </c>
      <c r="AL292" s="304">
        <v>165</v>
      </c>
      <c r="AM292" s="304">
        <v>175</v>
      </c>
      <c r="AN292" s="304">
        <v>193</v>
      </c>
      <c r="AO292" s="304">
        <v>230</v>
      </c>
      <c r="AP292" s="304">
        <v>305</v>
      </c>
      <c r="AQ292" s="304">
        <v>355</v>
      </c>
      <c r="AR292" s="304">
        <v>415</v>
      </c>
      <c r="AS292" s="497">
        <v>475</v>
      </c>
      <c r="AT292" s="496">
        <f t="shared" si="135"/>
        <v>88</v>
      </c>
      <c r="AU292" s="304">
        <f t="shared" si="136"/>
        <v>0</v>
      </c>
      <c r="AV292" s="304">
        <f t="shared" si="137"/>
        <v>0</v>
      </c>
      <c r="AW292" s="304">
        <f t="shared" si="138"/>
        <v>0</v>
      </c>
      <c r="AX292" s="304">
        <f t="shared" si="139"/>
        <v>0</v>
      </c>
      <c r="AY292" s="304">
        <f t="shared" si="140"/>
        <v>0</v>
      </c>
      <c r="AZ292" s="304">
        <f t="shared" si="141"/>
        <v>0</v>
      </c>
      <c r="BA292" s="304">
        <f t="shared" si="142"/>
        <v>0</v>
      </c>
      <c r="BB292" s="304">
        <f t="shared" si="143"/>
        <v>0</v>
      </c>
      <c r="BC292" s="304">
        <f t="shared" si="144"/>
        <v>0</v>
      </c>
      <c r="BD292" s="304">
        <f t="shared" si="145"/>
        <v>0</v>
      </c>
      <c r="BE292" s="304">
        <f t="shared" si="146"/>
        <v>0</v>
      </c>
      <c r="BF292" s="497">
        <f t="shared" si="147"/>
        <v>0</v>
      </c>
      <c r="BG292" s="496">
        <f t="shared" si="148"/>
        <v>9</v>
      </c>
      <c r="BH292" s="304" t="str">
        <f t="shared" si="149"/>
        <v/>
      </c>
      <c r="BI292" s="304" t="str">
        <f t="shared" si="150"/>
        <v/>
      </c>
      <c r="BJ292" s="304" t="str">
        <f t="shared" si="151"/>
        <v/>
      </c>
      <c r="BK292" s="304" t="str">
        <f t="shared" si="152"/>
        <v/>
      </c>
      <c r="BL292" s="304" t="str">
        <f t="shared" si="153"/>
        <v/>
      </c>
      <c r="BM292" s="304" t="str">
        <f t="shared" si="154"/>
        <v/>
      </c>
      <c r="BN292" s="304" t="str">
        <f t="shared" si="155"/>
        <v/>
      </c>
      <c r="BO292" s="304" t="str">
        <f t="shared" si="156"/>
        <v/>
      </c>
      <c r="BP292" s="304" t="str">
        <f t="shared" si="157"/>
        <v/>
      </c>
      <c r="BQ292" s="304" t="str">
        <f t="shared" si="158"/>
        <v/>
      </c>
      <c r="BR292" s="304" t="str">
        <f t="shared" si="159"/>
        <v/>
      </c>
      <c r="BS292" s="497" t="str">
        <f t="shared" si="160"/>
        <v/>
      </c>
      <c r="BT292" s="302"/>
      <c r="BU292" s="302"/>
    </row>
    <row r="293" spans="1:73">
      <c r="A293" s="302"/>
      <c r="B293" s="302"/>
      <c r="C293" s="325"/>
      <c r="D293" s="326"/>
      <c r="E293" s="326"/>
      <c r="F293" s="327">
        <f t="shared" si="115"/>
        <v>0</v>
      </c>
      <c r="G293" s="325"/>
      <c r="H293" s="326"/>
      <c r="I293" s="326"/>
      <c r="J293" s="327">
        <f t="shared" si="116"/>
        <v>0</v>
      </c>
      <c r="K293" s="343">
        <f t="shared" si="117"/>
        <v>0</v>
      </c>
      <c r="L293" s="394"/>
      <c r="M293" s="394"/>
      <c r="N293" s="494">
        <f t="shared" si="118"/>
        <v>0</v>
      </c>
      <c r="O293" s="345">
        <v>0</v>
      </c>
      <c r="P293" s="346">
        <f t="shared" si="119"/>
        <v>0</v>
      </c>
      <c r="Q293" s="489" t="str">
        <f t="shared" si="120"/>
        <v/>
      </c>
      <c r="R293" s="490" t="str">
        <f t="shared" si="121"/>
        <v/>
      </c>
      <c r="S293" s="490" t="str">
        <f t="shared" si="122"/>
        <v/>
      </c>
      <c r="T293" s="490" t="str">
        <f t="shared" si="123"/>
        <v/>
      </c>
      <c r="U293" s="490" t="str">
        <f t="shared" si="124"/>
        <v/>
      </c>
      <c r="V293" s="490" t="str">
        <f t="shared" si="125"/>
        <v/>
      </c>
      <c r="W293" s="490" t="str">
        <f t="shared" si="126"/>
        <v/>
      </c>
      <c r="X293" s="490" t="str">
        <f t="shared" si="127"/>
        <v/>
      </c>
      <c r="Y293" s="490" t="str">
        <f t="shared" si="128"/>
        <v/>
      </c>
      <c r="Z293" s="490" t="str">
        <f t="shared" si="129"/>
        <v/>
      </c>
      <c r="AA293" s="490" t="str">
        <f t="shared" si="130"/>
        <v/>
      </c>
      <c r="AB293" s="490" t="str">
        <f t="shared" si="131"/>
        <v/>
      </c>
      <c r="AC293" s="335" t="str">
        <f t="shared" si="132"/>
        <v/>
      </c>
      <c r="AD293" s="396"/>
      <c r="AE293" s="495">
        <f t="shared" si="133"/>
        <v>0</v>
      </c>
      <c r="AF293" s="495">
        <f t="shared" si="134"/>
        <v>0</v>
      </c>
      <c r="AG293" s="496">
        <v>0</v>
      </c>
      <c r="AH293" s="304">
        <v>0</v>
      </c>
      <c r="AI293" s="304">
        <v>0</v>
      </c>
      <c r="AJ293" s="304">
        <v>0</v>
      </c>
      <c r="AK293" s="304">
        <v>0</v>
      </c>
      <c r="AL293" s="304">
        <v>0</v>
      </c>
      <c r="AM293" s="304">
        <v>0</v>
      </c>
      <c r="AN293" s="304">
        <v>0</v>
      </c>
      <c r="AO293" s="304">
        <v>0</v>
      </c>
      <c r="AP293" s="304">
        <v>0</v>
      </c>
      <c r="AQ293" s="304">
        <v>0</v>
      </c>
      <c r="AR293" s="304">
        <v>0</v>
      </c>
      <c r="AS293" s="497">
        <v>0</v>
      </c>
      <c r="AT293" s="496">
        <f t="shared" si="135"/>
        <v>0</v>
      </c>
      <c r="AU293" s="304">
        <f t="shared" si="136"/>
        <v>0</v>
      </c>
      <c r="AV293" s="304">
        <f t="shared" si="137"/>
        <v>0</v>
      </c>
      <c r="AW293" s="304">
        <f t="shared" si="138"/>
        <v>0</v>
      </c>
      <c r="AX293" s="304">
        <f t="shared" si="139"/>
        <v>0</v>
      </c>
      <c r="AY293" s="304">
        <f t="shared" si="140"/>
        <v>0</v>
      </c>
      <c r="AZ293" s="304">
        <f t="shared" si="141"/>
        <v>0</v>
      </c>
      <c r="BA293" s="304">
        <f t="shared" si="142"/>
        <v>0</v>
      </c>
      <c r="BB293" s="304">
        <f t="shared" si="143"/>
        <v>0</v>
      </c>
      <c r="BC293" s="304">
        <f t="shared" si="144"/>
        <v>0</v>
      </c>
      <c r="BD293" s="304">
        <f t="shared" si="145"/>
        <v>0</v>
      </c>
      <c r="BE293" s="304">
        <f t="shared" si="146"/>
        <v>0</v>
      </c>
      <c r="BF293" s="497">
        <f t="shared" si="147"/>
        <v>0</v>
      </c>
      <c r="BG293" s="496" t="str">
        <f t="shared" si="148"/>
        <v/>
      </c>
      <c r="BH293" s="304" t="str">
        <f t="shared" si="149"/>
        <v/>
      </c>
      <c r="BI293" s="304" t="str">
        <f t="shared" si="150"/>
        <v/>
      </c>
      <c r="BJ293" s="304" t="str">
        <f t="shared" si="151"/>
        <v/>
      </c>
      <c r="BK293" s="304" t="str">
        <f t="shared" si="152"/>
        <v/>
      </c>
      <c r="BL293" s="304" t="str">
        <f t="shared" si="153"/>
        <v/>
      </c>
      <c r="BM293" s="304" t="str">
        <f t="shared" si="154"/>
        <v/>
      </c>
      <c r="BN293" s="304" t="str">
        <f t="shared" si="155"/>
        <v/>
      </c>
      <c r="BO293" s="304" t="str">
        <f t="shared" si="156"/>
        <v/>
      </c>
      <c r="BP293" s="304" t="str">
        <f t="shared" si="157"/>
        <v/>
      </c>
      <c r="BQ293" s="304" t="str">
        <f t="shared" si="158"/>
        <v/>
      </c>
      <c r="BR293" s="304" t="str">
        <f t="shared" si="159"/>
        <v/>
      </c>
      <c r="BS293" s="497" t="str">
        <f t="shared" si="160"/>
        <v/>
      </c>
      <c r="BT293" s="302"/>
      <c r="BU293" s="302"/>
    </row>
    <row r="294" spans="1:73">
      <c r="A294" s="302"/>
      <c r="B294" s="302"/>
      <c r="C294" s="325"/>
      <c r="D294" s="326"/>
      <c r="E294" s="326"/>
      <c r="F294" s="327">
        <f t="shared" si="115"/>
        <v>0</v>
      </c>
      <c r="G294" s="325"/>
      <c r="H294" s="326"/>
      <c r="I294" s="326"/>
      <c r="J294" s="327">
        <f t="shared" si="116"/>
        <v>0</v>
      </c>
      <c r="K294" s="343">
        <f t="shared" si="117"/>
        <v>0</v>
      </c>
      <c r="L294" s="394"/>
      <c r="M294" s="394"/>
      <c r="N294" s="494">
        <f t="shared" si="118"/>
        <v>0</v>
      </c>
      <c r="O294" s="345">
        <v>0</v>
      </c>
      <c r="P294" s="346">
        <f t="shared" si="119"/>
        <v>0</v>
      </c>
      <c r="Q294" s="489" t="str">
        <f t="shared" si="120"/>
        <v/>
      </c>
      <c r="R294" s="490" t="str">
        <f t="shared" si="121"/>
        <v/>
      </c>
      <c r="S294" s="490" t="str">
        <f t="shared" si="122"/>
        <v/>
      </c>
      <c r="T294" s="490" t="str">
        <f t="shared" si="123"/>
        <v/>
      </c>
      <c r="U294" s="490" t="str">
        <f t="shared" si="124"/>
        <v/>
      </c>
      <c r="V294" s="490" t="str">
        <f t="shared" si="125"/>
        <v/>
      </c>
      <c r="W294" s="490" t="str">
        <f t="shared" si="126"/>
        <v/>
      </c>
      <c r="X294" s="490" t="str">
        <f t="shared" si="127"/>
        <v/>
      </c>
      <c r="Y294" s="490" t="str">
        <f t="shared" si="128"/>
        <v/>
      </c>
      <c r="Z294" s="490" t="str">
        <f t="shared" si="129"/>
        <v/>
      </c>
      <c r="AA294" s="490" t="str">
        <f t="shared" si="130"/>
        <v/>
      </c>
      <c r="AB294" s="490" t="str">
        <f t="shared" si="131"/>
        <v/>
      </c>
      <c r="AC294" s="335" t="str">
        <f t="shared" si="132"/>
        <v/>
      </c>
      <c r="AD294" s="396"/>
      <c r="AE294" s="495">
        <f t="shared" si="133"/>
        <v>0</v>
      </c>
      <c r="AF294" s="495">
        <f t="shared" si="134"/>
        <v>0</v>
      </c>
      <c r="AG294" s="496">
        <v>0</v>
      </c>
      <c r="AH294" s="304">
        <v>0</v>
      </c>
      <c r="AI294" s="304">
        <v>0</v>
      </c>
      <c r="AJ294" s="304">
        <v>0</v>
      </c>
      <c r="AK294" s="304">
        <v>0</v>
      </c>
      <c r="AL294" s="304">
        <v>0</v>
      </c>
      <c r="AM294" s="304">
        <v>0</v>
      </c>
      <c r="AN294" s="304">
        <v>0</v>
      </c>
      <c r="AO294" s="304">
        <v>0</v>
      </c>
      <c r="AP294" s="304">
        <v>0</v>
      </c>
      <c r="AQ294" s="304">
        <v>0</v>
      </c>
      <c r="AR294" s="304">
        <v>0</v>
      </c>
      <c r="AS294" s="497">
        <v>0</v>
      </c>
      <c r="AT294" s="496">
        <f t="shared" si="135"/>
        <v>0</v>
      </c>
      <c r="AU294" s="304">
        <f t="shared" si="136"/>
        <v>0</v>
      </c>
      <c r="AV294" s="304">
        <f t="shared" si="137"/>
        <v>0</v>
      </c>
      <c r="AW294" s="304">
        <f t="shared" si="138"/>
        <v>0</v>
      </c>
      <c r="AX294" s="304">
        <f t="shared" si="139"/>
        <v>0</v>
      </c>
      <c r="AY294" s="304">
        <f t="shared" si="140"/>
        <v>0</v>
      </c>
      <c r="AZ294" s="304">
        <f t="shared" si="141"/>
        <v>0</v>
      </c>
      <c r="BA294" s="304">
        <f t="shared" si="142"/>
        <v>0</v>
      </c>
      <c r="BB294" s="304">
        <f t="shared" si="143"/>
        <v>0</v>
      </c>
      <c r="BC294" s="304">
        <f t="shared" si="144"/>
        <v>0</v>
      </c>
      <c r="BD294" s="304">
        <f t="shared" si="145"/>
        <v>0</v>
      </c>
      <c r="BE294" s="304">
        <f t="shared" si="146"/>
        <v>0</v>
      </c>
      <c r="BF294" s="497">
        <f t="shared" si="147"/>
        <v>0</v>
      </c>
      <c r="BG294" s="496" t="str">
        <f t="shared" si="148"/>
        <v/>
      </c>
      <c r="BH294" s="304" t="str">
        <f t="shared" si="149"/>
        <v/>
      </c>
      <c r="BI294" s="304" t="str">
        <f t="shared" si="150"/>
        <v/>
      </c>
      <c r="BJ294" s="304" t="str">
        <f t="shared" si="151"/>
        <v/>
      </c>
      <c r="BK294" s="304" t="str">
        <f t="shared" si="152"/>
        <v/>
      </c>
      <c r="BL294" s="304" t="str">
        <f t="shared" si="153"/>
        <v/>
      </c>
      <c r="BM294" s="304" t="str">
        <f t="shared" si="154"/>
        <v/>
      </c>
      <c r="BN294" s="304" t="str">
        <f t="shared" si="155"/>
        <v/>
      </c>
      <c r="BO294" s="304" t="str">
        <f t="shared" si="156"/>
        <v/>
      </c>
      <c r="BP294" s="304" t="str">
        <f t="shared" si="157"/>
        <v/>
      </c>
      <c r="BQ294" s="304" t="str">
        <f t="shared" si="158"/>
        <v/>
      </c>
      <c r="BR294" s="304" t="str">
        <f t="shared" si="159"/>
        <v/>
      </c>
      <c r="BS294" s="497" t="str">
        <f t="shared" si="160"/>
        <v/>
      </c>
      <c r="BT294" s="302"/>
      <c r="BU294" s="302"/>
    </row>
    <row r="295" spans="1:73">
      <c r="A295" s="302"/>
      <c r="B295" s="302"/>
      <c r="C295" s="325"/>
      <c r="D295" s="326"/>
      <c r="E295" s="326"/>
      <c r="F295" s="327">
        <f t="shared" si="115"/>
        <v>0</v>
      </c>
      <c r="G295" s="325"/>
      <c r="H295" s="326"/>
      <c r="I295" s="326"/>
      <c r="J295" s="327">
        <f t="shared" si="116"/>
        <v>0</v>
      </c>
      <c r="K295" s="343">
        <f t="shared" si="117"/>
        <v>0</v>
      </c>
      <c r="L295" s="394"/>
      <c r="M295" s="394"/>
      <c r="N295" s="494">
        <f t="shared" si="118"/>
        <v>0</v>
      </c>
      <c r="O295" s="345">
        <v>0</v>
      </c>
      <c r="P295" s="346">
        <f t="shared" si="119"/>
        <v>0</v>
      </c>
      <c r="Q295" s="489" t="str">
        <f t="shared" si="120"/>
        <v/>
      </c>
      <c r="R295" s="490" t="str">
        <f t="shared" si="121"/>
        <v/>
      </c>
      <c r="S295" s="490" t="str">
        <f t="shared" si="122"/>
        <v/>
      </c>
      <c r="T295" s="490" t="str">
        <f t="shared" si="123"/>
        <v/>
      </c>
      <c r="U295" s="490" t="str">
        <f t="shared" si="124"/>
        <v/>
      </c>
      <c r="V295" s="490" t="str">
        <f t="shared" si="125"/>
        <v/>
      </c>
      <c r="W295" s="490" t="str">
        <f t="shared" si="126"/>
        <v/>
      </c>
      <c r="X295" s="490" t="str">
        <f t="shared" si="127"/>
        <v/>
      </c>
      <c r="Y295" s="490" t="str">
        <f t="shared" si="128"/>
        <v/>
      </c>
      <c r="Z295" s="490" t="str">
        <f t="shared" si="129"/>
        <v/>
      </c>
      <c r="AA295" s="490" t="str">
        <f t="shared" si="130"/>
        <v/>
      </c>
      <c r="AB295" s="490" t="str">
        <f t="shared" si="131"/>
        <v/>
      </c>
      <c r="AC295" s="335" t="str">
        <f t="shared" si="132"/>
        <v/>
      </c>
      <c r="AD295" s="396"/>
      <c r="AE295" s="495">
        <f t="shared" si="133"/>
        <v>0</v>
      </c>
      <c r="AF295" s="495">
        <f t="shared" si="134"/>
        <v>0</v>
      </c>
      <c r="AG295" s="496">
        <v>0</v>
      </c>
      <c r="AH295" s="304">
        <v>0</v>
      </c>
      <c r="AI295" s="304">
        <v>0</v>
      </c>
      <c r="AJ295" s="304">
        <v>0</v>
      </c>
      <c r="AK295" s="304">
        <v>0</v>
      </c>
      <c r="AL295" s="304">
        <v>0</v>
      </c>
      <c r="AM295" s="304">
        <v>0</v>
      </c>
      <c r="AN295" s="304">
        <v>0</v>
      </c>
      <c r="AO295" s="304">
        <v>0</v>
      </c>
      <c r="AP295" s="304">
        <v>0</v>
      </c>
      <c r="AQ295" s="304">
        <v>0</v>
      </c>
      <c r="AR295" s="304">
        <v>0</v>
      </c>
      <c r="AS295" s="497">
        <v>0</v>
      </c>
      <c r="AT295" s="496">
        <f t="shared" si="135"/>
        <v>0</v>
      </c>
      <c r="AU295" s="304">
        <f t="shared" si="136"/>
        <v>0</v>
      </c>
      <c r="AV295" s="304">
        <f t="shared" si="137"/>
        <v>0</v>
      </c>
      <c r="AW295" s="304">
        <f t="shared" si="138"/>
        <v>0</v>
      </c>
      <c r="AX295" s="304">
        <f t="shared" si="139"/>
        <v>0</v>
      </c>
      <c r="AY295" s="304">
        <f t="shared" si="140"/>
        <v>0</v>
      </c>
      <c r="AZ295" s="304">
        <f t="shared" si="141"/>
        <v>0</v>
      </c>
      <c r="BA295" s="304">
        <f t="shared" si="142"/>
        <v>0</v>
      </c>
      <c r="BB295" s="304">
        <f t="shared" si="143"/>
        <v>0</v>
      </c>
      <c r="BC295" s="304">
        <f t="shared" si="144"/>
        <v>0</v>
      </c>
      <c r="BD295" s="304">
        <f t="shared" si="145"/>
        <v>0</v>
      </c>
      <c r="BE295" s="304">
        <f t="shared" si="146"/>
        <v>0</v>
      </c>
      <c r="BF295" s="497">
        <f t="shared" si="147"/>
        <v>0</v>
      </c>
      <c r="BG295" s="496" t="str">
        <f t="shared" si="148"/>
        <v/>
      </c>
      <c r="BH295" s="304" t="str">
        <f t="shared" si="149"/>
        <v/>
      </c>
      <c r="BI295" s="304" t="str">
        <f t="shared" si="150"/>
        <v/>
      </c>
      <c r="BJ295" s="304" t="str">
        <f t="shared" si="151"/>
        <v/>
      </c>
      <c r="BK295" s="304" t="str">
        <f t="shared" si="152"/>
        <v/>
      </c>
      <c r="BL295" s="304" t="str">
        <f t="shared" si="153"/>
        <v/>
      </c>
      <c r="BM295" s="304" t="str">
        <f t="shared" si="154"/>
        <v/>
      </c>
      <c r="BN295" s="304" t="str">
        <f t="shared" si="155"/>
        <v/>
      </c>
      <c r="BO295" s="304" t="str">
        <f t="shared" si="156"/>
        <v/>
      </c>
      <c r="BP295" s="304" t="str">
        <f t="shared" si="157"/>
        <v/>
      </c>
      <c r="BQ295" s="304" t="str">
        <f t="shared" si="158"/>
        <v/>
      </c>
      <c r="BR295" s="304" t="str">
        <f t="shared" si="159"/>
        <v/>
      </c>
      <c r="BS295" s="497" t="str">
        <f t="shared" si="160"/>
        <v/>
      </c>
      <c r="BT295" s="302"/>
      <c r="BU295" s="302"/>
    </row>
    <row r="296" spans="1:73">
      <c r="A296" s="302"/>
      <c r="B296" s="302"/>
      <c r="C296" s="325"/>
      <c r="D296" s="326"/>
      <c r="E296" s="326"/>
      <c r="F296" s="327">
        <f t="shared" si="115"/>
        <v>0</v>
      </c>
      <c r="G296" s="325"/>
      <c r="H296" s="326"/>
      <c r="I296" s="326"/>
      <c r="J296" s="327">
        <f t="shared" si="116"/>
        <v>0</v>
      </c>
      <c r="K296" s="343">
        <f t="shared" si="117"/>
        <v>0</v>
      </c>
      <c r="L296" s="394"/>
      <c r="M296" s="394"/>
      <c r="N296" s="494">
        <f t="shared" si="118"/>
        <v>0</v>
      </c>
      <c r="O296" s="345">
        <v>0</v>
      </c>
      <c r="P296" s="346">
        <f t="shared" si="119"/>
        <v>0</v>
      </c>
      <c r="Q296" s="489" t="str">
        <f t="shared" si="120"/>
        <v/>
      </c>
      <c r="R296" s="490" t="str">
        <f t="shared" si="121"/>
        <v/>
      </c>
      <c r="S296" s="490" t="str">
        <f t="shared" si="122"/>
        <v/>
      </c>
      <c r="T296" s="490" t="str">
        <f t="shared" si="123"/>
        <v/>
      </c>
      <c r="U296" s="490" t="str">
        <f t="shared" si="124"/>
        <v/>
      </c>
      <c r="V296" s="490" t="str">
        <f t="shared" si="125"/>
        <v/>
      </c>
      <c r="W296" s="490" t="str">
        <f t="shared" si="126"/>
        <v/>
      </c>
      <c r="X296" s="490" t="str">
        <f t="shared" si="127"/>
        <v/>
      </c>
      <c r="Y296" s="490" t="str">
        <f t="shared" si="128"/>
        <v/>
      </c>
      <c r="Z296" s="490" t="str">
        <f t="shared" si="129"/>
        <v/>
      </c>
      <c r="AA296" s="490" t="str">
        <f t="shared" si="130"/>
        <v/>
      </c>
      <c r="AB296" s="490" t="str">
        <f t="shared" si="131"/>
        <v/>
      </c>
      <c r="AC296" s="335" t="str">
        <f t="shared" si="132"/>
        <v/>
      </c>
      <c r="AD296" s="396"/>
      <c r="AE296" s="495">
        <f t="shared" si="133"/>
        <v>0</v>
      </c>
      <c r="AF296" s="495">
        <f t="shared" si="134"/>
        <v>0</v>
      </c>
      <c r="AG296" s="496">
        <v>0</v>
      </c>
      <c r="AH296" s="304">
        <v>0</v>
      </c>
      <c r="AI296" s="304">
        <v>0</v>
      </c>
      <c r="AJ296" s="304">
        <v>0</v>
      </c>
      <c r="AK296" s="304">
        <v>0</v>
      </c>
      <c r="AL296" s="304">
        <v>0</v>
      </c>
      <c r="AM296" s="304">
        <v>0</v>
      </c>
      <c r="AN296" s="304">
        <v>0</v>
      </c>
      <c r="AO296" s="304">
        <v>0</v>
      </c>
      <c r="AP296" s="304">
        <v>0</v>
      </c>
      <c r="AQ296" s="304">
        <v>0</v>
      </c>
      <c r="AR296" s="304">
        <v>0</v>
      </c>
      <c r="AS296" s="497">
        <v>0</v>
      </c>
      <c r="AT296" s="496">
        <f t="shared" si="135"/>
        <v>0</v>
      </c>
      <c r="AU296" s="304">
        <f t="shared" si="136"/>
        <v>0</v>
      </c>
      <c r="AV296" s="304">
        <f t="shared" si="137"/>
        <v>0</v>
      </c>
      <c r="AW296" s="304">
        <f t="shared" si="138"/>
        <v>0</v>
      </c>
      <c r="AX296" s="304">
        <f t="shared" si="139"/>
        <v>0</v>
      </c>
      <c r="AY296" s="304">
        <f t="shared" si="140"/>
        <v>0</v>
      </c>
      <c r="AZ296" s="304">
        <f t="shared" si="141"/>
        <v>0</v>
      </c>
      <c r="BA296" s="304">
        <f t="shared" si="142"/>
        <v>0</v>
      </c>
      <c r="BB296" s="304">
        <f t="shared" si="143"/>
        <v>0</v>
      </c>
      <c r="BC296" s="304">
        <f t="shared" si="144"/>
        <v>0</v>
      </c>
      <c r="BD296" s="304">
        <f t="shared" si="145"/>
        <v>0</v>
      </c>
      <c r="BE296" s="304">
        <f t="shared" si="146"/>
        <v>0</v>
      </c>
      <c r="BF296" s="497">
        <f t="shared" si="147"/>
        <v>0</v>
      </c>
      <c r="BG296" s="496" t="str">
        <f t="shared" si="148"/>
        <v/>
      </c>
      <c r="BH296" s="304" t="str">
        <f t="shared" si="149"/>
        <v/>
      </c>
      <c r="BI296" s="304" t="str">
        <f t="shared" si="150"/>
        <v/>
      </c>
      <c r="BJ296" s="304" t="str">
        <f t="shared" si="151"/>
        <v/>
      </c>
      <c r="BK296" s="304" t="str">
        <f t="shared" si="152"/>
        <v/>
      </c>
      <c r="BL296" s="304" t="str">
        <f t="shared" si="153"/>
        <v/>
      </c>
      <c r="BM296" s="304" t="str">
        <f t="shared" si="154"/>
        <v/>
      </c>
      <c r="BN296" s="304" t="str">
        <f t="shared" si="155"/>
        <v/>
      </c>
      <c r="BO296" s="304" t="str">
        <f t="shared" si="156"/>
        <v/>
      </c>
      <c r="BP296" s="304" t="str">
        <f t="shared" si="157"/>
        <v/>
      </c>
      <c r="BQ296" s="304" t="str">
        <f t="shared" si="158"/>
        <v/>
      </c>
      <c r="BR296" s="304" t="str">
        <f t="shared" si="159"/>
        <v/>
      </c>
      <c r="BS296" s="497" t="str">
        <f t="shared" si="160"/>
        <v/>
      </c>
      <c r="BT296" s="302"/>
      <c r="BU296" s="302"/>
    </row>
    <row r="297" spans="1:73">
      <c r="A297" s="302"/>
      <c r="B297" s="302"/>
      <c r="C297" s="325"/>
      <c r="D297" s="326"/>
      <c r="E297" s="326"/>
      <c r="F297" s="327">
        <f t="shared" si="115"/>
        <v>0</v>
      </c>
      <c r="G297" s="325"/>
      <c r="H297" s="326"/>
      <c r="I297" s="326"/>
      <c r="J297" s="327">
        <f t="shared" si="116"/>
        <v>0</v>
      </c>
      <c r="K297" s="343">
        <f t="shared" si="117"/>
        <v>0</v>
      </c>
      <c r="L297" s="394"/>
      <c r="M297" s="394"/>
      <c r="N297" s="494">
        <f t="shared" si="118"/>
        <v>0</v>
      </c>
      <c r="O297" s="345">
        <v>0</v>
      </c>
      <c r="P297" s="346">
        <f t="shared" si="119"/>
        <v>0</v>
      </c>
      <c r="Q297" s="489" t="str">
        <f t="shared" si="120"/>
        <v/>
      </c>
      <c r="R297" s="490" t="str">
        <f t="shared" si="121"/>
        <v/>
      </c>
      <c r="S297" s="490" t="str">
        <f t="shared" si="122"/>
        <v/>
      </c>
      <c r="T297" s="490" t="str">
        <f t="shared" si="123"/>
        <v/>
      </c>
      <c r="U297" s="490" t="str">
        <f t="shared" si="124"/>
        <v/>
      </c>
      <c r="V297" s="490" t="str">
        <f t="shared" si="125"/>
        <v/>
      </c>
      <c r="W297" s="490" t="str">
        <f t="shared" si="126"/>
        <v/>
      </c>
      <c r="X297" s="490" t="str">
        <f t="shared" si="127"/>
        <v/>
      </c>
      <c r="Y297" s="490" t="str">
        <f t="shared" si="128"/>
        <v/>
      </c>
      <c r="Z297" s="490" t="str">
        <f t="shared" si="129"/>
        <v/>
      </c>
      <c r="AA297" s="490" t="str">
        <f t="shared" si="130"/>
        <v/>
      </c>
      <c r="AB297" s="490" t="str">
        <f t="shared" si="131"/>
        <v/>
      </c>
      <c r="AC297" s="335" t="str">
        <f t="shared" si="132"/>
        <v/>
      </c>
      <c r="AD297" s="396"/>
      <c r="AE297" s="495">
        <f t="shared" si="133"/>
        <v>0</v>
      </c>
      <c r="AF297" s="495">
        <f t="shared" si="134"/>
        <v>0</v>
      </c>
      <c r="AG297" s="496">
        <v>0</v>
      </c>
      <c r="AH297" s="304">
        <v>0</v>
      </c>
      <c r="AI297" s="304">
        <v>0</v>
      </c>
      <c r="AJ297" s="304">
        <v>0</v>
      </c>
      <c r="AK297" s="304">
        <v>0</v>
      </c>
      <c r="AL297" s="304">
        <v>0</v>
      </c>
      <c r="AM297" s="304">
        <v>0</v>
      </c>
      <c r="AN297" s="304">
        <v>0</v>
      </c>
      <c r="AO297" s="304">
        <v>0</v>
      </c>
      <c r="AP297" s="304">
        <v>0</v>
      </c>
      <c r="AQ297" s="304">
        <v>0</v>
      </c>
      <c r="AR297" s="304">
        <v>0</v>
      </c>
      <c r="AS297" s="497">
        <v>0</v>
      </c>
      <c r="AT297" s="496">
        <f t="shared" si="135"/>
        <v>0</v>
      </c>
      <c r="AU297" s="304">
        <f t="shared" si="136"/>
        <v>0</v>
      </c>
      <c r="AV297" s="304">
        <f t="shared" si="137"/>
        <v>0</v>
      </c>
      <c r="AW297" s="304">
        <f t="shared" si="138"/>
        <v>0</v>
      </c>
      <c r="AX297" s="304">
        <f t="shared" si="139"/>
        <v>0</v>
      </c>
      <c r="AY297" s="304">
        <f t="shared" si="140"/>
        <v>0</v>
      </c>
      <c r="AZ297" s="304">
        <f t="shared" si="141"/>
        <v>0</v>
      </c>
      <c r="BA297" s="304">
        <f t="shared" si="142"/>
        <v>0</v>
      </c>
      <c r="BB297" s="304">
        <f t="shared" si="143"/>
        <v>0</v>
      </c>
      <c r="BC297" s="304">
        <f t="shared" si="144"/>
        <v>0</v>
      </c>
      <c r="BD297" s="304">
        <f t="shared" si="145"/>
        <v>0</v>
      </c>
      <c r="BE297" s="304">
        <f t="shared" si="146"/>
        <v>0</v>
      </c>
      <c r="BF297" s="497">
        <f t="shared" si="147"/>
        <v>0</v>
      </c>
      <c r="BG297" s="496" t="str">
        <f t="shared" si="148"/>
        <v/>
      </c>
      <c r="BH297" s="304" t="str">
        <f t="shared" si="149"/>
        <v/>
      </c>
      <c r="BI297" s="304" t="str">
        <f t="shared" si="150"/>
        <v/>
      </c>
      <c r="BJ297" s="304" t="str">
        <f t="shared" si="151"/>
        <v/>
      </c>
      <c r="BK297" s="304" t="str">
        <f t="shared" si="152"/>
        <v/>
      </c>
      <c r="BL297" s="304" t="str">
        <f t="shared" si="153"/>
        <v/>
      </c>
      <c r="BM297" s="304" t="str">
        <f t="shared" si="154"/>
        <v/>
      </c>
      <c r="BN297" s="304" t="str">
        <f t="shared" si="155"/>
        <v/>
      </c>
      <c r="BO297" s="304" t="str">
        <f t="shared" si="156"/>
        <v/>
      </c>
      <c r="BP297" s="304" t="str">
        <f t="shared" si="157"/>
        <v/>
      </c>
      <c r="BQ297" s="304" t="str">
        <f t="shared" si="158"/>
        <v/>
      </c>
      <c r="BR297" s="304" t="str">
        <f t="shared" si="159"/>
        <v/>
      </c>
      <c r="BS297" s="497" t="str">
        <f t="shared" si="160"/>
        <v/>
      </c>
      <c r="BT297" s="302"/>
      <c r="BU297" s="302"/>
    </row>
    <row r="298" spans="1:73">
      <c r="A298" s="302"/>
      <c r="B298" s="302"/>
      <c r="C298" s="325"/>
      <c r="D298" s="326"/>
      <c r="E298" s="326"/>
      <c r="F298" s="327">
        <f t="shared" si="115"/>
        <v>0</v>
      </c>
      <c r="G298" s="325"/>
      <c r="H298" s="326"/>
      <c r="I298" s="326"/>
      <c r="J298" s="327">
        <f t="shared" si="116"/>
        <v>0</v>
      </c>
      <c r="K298" s="343">
        <f t="shared" si="117"/>
        <v>0</v>
      </c>
      <c r="L298" s="394"/>
      <c r="M298" s="394"/>
      <c r="N298" s="494">
        <f t="shared" si="118"/>
        <v>0</v>
      </c>
      <c r="O298" s="345">
        <v>0</v>
      </c>
      <c r="P298" s="346">
        <f t="shared" si="119"/>
        <v>0</v>
      </c>
      <c r="Q298" s="489" t="str">
        <f t="shared" si="120"/>
        <v/>
      </c>
      <c r="R298" s="490" t="str">
        <f t="shared" si="121"/>
        <v/>
      </c>
      <c r="S298" s="490" t="str">
        <f t="shared" si="122"/>
        <v/>
      </c>
      <c r="T298" s="490" t="str">
        <f t="shared" si="123"/>
        <v/>
      </c>
      <c r="U298" s="490" t="str">
        <f t="shared" si="124"/>
        <v/>
      </c>
      <c r="V298" s="490" t="str">
        <f t="shared" si="125"/>
        <v/>
      </c>
      <c r="W298" s="490" t="str">
        <f t="shared" si="126"/>
        <v/>
      </c>
      <c r="X298" s="490" t="str">
        <f t="shared" si="127"/>
        <v/>
      </c>
      <c r="Y298" s="490" t="str">
        <f t="shared" si="128"/>
        <v/>
      </c>
      <c r="Z298" s="490" t="str">
        <f t="shared" si="129"/>
        <v/>
      </c>
      <c r="AA298" s="490" t="str">
        <f t="shared" si="130"/>
        <v/>
      </c>
      <c r="AB298" s="490" t="str">
        <f t="shared" si="131"/>
        <v/>
      </c>
      <c r="AC298" s="335" t="str">
        <f t="shared" si="132"/>
        <v/>
      </c>
      <c r="AD298" s="396"/>
      <c r="AE298" s="495">
        <f t="shared" si="133"/>
        <v>0</v>
      </c>
      <c r="AF298" s="495">
        <f t="shared" si="134"/>
        <v>0</v>
      </c>
      <c r="AG298" s="496">
        <v>0</v>
      </c>
      <c r="AH298" s="304">
        <v>0</v>
      </c>
      <c r="AI298" s="304">
        <v>0</v>
      </c>
      <c r="AJ298" s="304">
        <v>0</v>
      </c>
      <c r="AK298" s="304">
        <v>0</v>
      </c>
      <c r="AL298" s="304">
        <v>0</v>
      </c>
      <c r="AM298" s="304">
        <v>0</v>
      </c>
      <c r="AN298" s="304">
        <v>0</v>
      </c>
      <c r="AO298" s="304">
        <v>0</v>
      </c>
      <c r="AP298" s="304">
        <v>0</v>
      </c>
      <c r="AQ298" s="304">
        <v>0</v>
      </c>
      <c r="AR298" s="304">
        <v>0</v>
      </c>
      <c r="AS298" s="497">
        <v>0</v>
      </c>
      <c r="AT298" s="496">
        <f t="shared" si="135"/>
        <v>0</v>
      </c>
      <c r="AU298" s="304">
        <f t="shared" si="136"/>
        <v>0</v>
      </c>
      <c r="AV298" s="304">
        <f t="shared" si="137"/>
        <v>0</v>
      </c>
      <c r="AW298" s="304">
        <f t="shared" si="138"/>
        <v>0</v>
      </c>
      <c r="AX298" s="304">
        <f t="shared" si="139"/>
        <v>0</v>
      </c>
      <c r="AY298" s="304">
        <f t="shared" si="140"/>
        <v>0</v>
      </c>
      <c r="AZ298" s="304">
        <f t="shared" si="141"/>
        <v>0</v>
      </c>
      <c r="BA298" s="304">
        <f t="shared" si="142"/>
        <v>0</v>
      </c>
      <c r="BB298" s="304">
        <f t="shared" si="143"/>
        <v>0</v>
      </c>
      <c r="BC298" s="304">
        <f t="shared" si="144"/>
        <v>0</v>
      </c>
      <c r="BD298" s="304">
        <f t="shared" si="145"/>
        <v>0</v>
      </c>
      <c r="BE298" s="304">
        <f t="shared" si="146"/>
        <v>0</v>
      </c>
      <c r="BF298" s="497">
        <f t="shared" si="147"/>
        <v>0</v>
      </c>
      <c r="BG298" s="496" t="str">
        <f t="shared" si="148"/>
        <v/>
      </c>
      <c r="BH298" s="304" t="str">
        <f t="shared" si="149"/>
        <v/>
      </c>
      <c r="BI298" s="304" t="str">
        <f t="shared" si="150"/>
        <v/>
      </c>
      <c r="BJ298" s="304" t="str">
        <f t="shared" si="151"/>
        <v/>
      </c>
      <c r="BK298" s="304" t="str">
        <f t="shared" si="152"/>
        <v/>
      </c>
      <c r="BL298" s="304" t="str">
        <f t="shared" si="153"/>
        <v/>
      </c>
      <c r="BM298" s="304" t="str">
        <f t="shared" si="154"/>
        <v/>
      </c>
      <c r="BN298" s="304" t="str">
        <f t="shared" si="155"/>
        <v/>
      </c>
      <c r="BO298" s="304" t="str">
        <f t="shared" si="156"/>
        <v/>
      </c>
      <c r="BP298" s="304" t="str">
        <f t="shared" si="157"/>
        <v/>
      </c>
      <c r="BQ298" s="304" t="str">
        <f t="shared" si="158"/>
        <v/>
      </c>
      <c r="BR298" s="304" t="str">
        <f t="shared" si="159"/>
        <v/>
      </c>
      <c r="BS298" s="497" t="str">
        <f t="shared" si="160"/>
        <v/>
      </c>
      <c r="BT298" s="302"/>
      <c r="BU298" s="302"/>
    </row>
    <row r="299" spans="1:73">
      <c r="A299" s="302"/>
      <c r="B299" s="302"/>
      <c r="C299" s="325"/>
      <c r="D299" s="326"/>
      <c r="E299" s="326"/>
      <c r="F299" s="327">
        <f t="shared" si="115"/>
        <v>0</v>
      </c>
      <c r="G299" s="325"/>
      <c r="H299" s="326"/>
      <c r="I299" s="326"/>
      <c r="J299" s="327">
        <f t="shared" si="116"/>
        <v>0</v>
      </c>
      <c r="K299" s="343">
        <f t="shared" si="117"/>
        <v>0</v>
      </c>
      <c r="L299" s="394"/>
      <c r="M299" s="394"/>
      <c r="N299" s="494">
        <f t="shared" si="118"/>
        <v>0</v>
      </c>
      <c r="O299" s="345">
        <v>0</v>
      </c>
      <c r="P299" s="346">
        <f t="shared" si="119"/>
        <v>0</v>
      </c>
      <c r="Q299" s="489" t="str">
        <f t="shared" si="120"/>
        <v/>
      </c>
      <c r="R299" s="490" t="str">
        <f t="shared" si="121"/>
        <v/>
      </c>
      <c r="S299" s="490" t="str">
        <f t="shared" si="122"/>
        <v/>
      </c>
      <c r="T299" s="490" t="str">
        <f t="shared" si="123"/>
        <v/>
      </c>
      <c r="U299" s="490" t="str">
        <f t="shared" si="124"/>
        <v/>
      </c>
      <c r="V299" s="490" t="str">
        <f t="shared" si="125"/>
        <v/>
      </c>
      <c r="W299" s="490" t="str">
        <f t="shared" si="126"/>
        <v/>
      </c>
      <c r="X299" s="490" t="str">
        <f t="shared" si="127"/>
        <v/>
      </c>
      <c r="Y299" s="490" t="str">
        <f t="shared" si="128"/>
        <v/>
      </c>
      <c r="Z299" s="490" t="str">
        <f t="shared" si="129"/>
        <v/>
      </c>
      <c r="AA299" s="490" t="str">
        <f t="shared" si="130"/>
        <v/>
      </c>
      <c r="AB299" s="490" t="str">
        <f t="shared" si="131"/>
        <v/>
      </c>
      <c r="AC299" s="335" t="str">
        <f t="shared" si="132"/>
        <v/>
      </c>
      <c r="AD299" s="396"/>
      <c r="AE299" s="495">
        <f t="shared" si="133"/>
        <v>0</v>
      </c>
      <c r="AF299" s="495">
        <f t="shared" si="134"/>
        <v>0</v>
      </c>
      <c r="AG299" s="496">
        <v>0</v>
      </c>
      <c r="AH299" s="304">
        <v>0</v>
      </c>
      <c r="AI299" s="304">
        <v>0</v>
      </c>
      <c r="AJ299" s="304">
        <v>0</v>
      </c>
      <c r="AK299" s="304">
        <v>0</v>
      </c>
      <c r="AL299" s="304">
        <v>0</v>
      </c>
      <c r="AM299" s="304">
        <v>0</v>
      </c>
      <c r="AN299" s="304">
        <v>0</v>
      </c>
      <c r="AO299" s="304">
        <v>0</v>
      </c>
      <c r="AP299" s="304">
        <v>0</v>
      </c>
      <c r="AQ299" s="304">
        <v>0</v>
      </c>
      <c r="AR299" s="304">
        <v>0</v>
      </c>
      <c r="AS299" s="497">
        <v>0</v>
      </c>
      <c r="AT299" s="496">
        <f t="shared" si="135"/>
        <v>0</v>
      </c>
      <c r="AU299" s="304">
        <f t="shared" si="136"/>
        <v>0</v>
      </c>
      <c r="AV299" s="304">
        <f t="shared" si="137"/>
        <v>0</v>
      </c>
      <c r="AW299" s="304">
        <f t="shared" si="138"/>
        <v>0</v>
      </c>
      <c r="AX299" s="304">
        <f t="shared" si="139"/>
        <v>0</v>
      </c>
      <c r="AY299" s="304">
        <f t="shared" si="140"/>
        <v>0</v>
      </c>
      <c r="AZ299" s="304">
        <f t="shared" si="141"/>
        <v>0</v>
      </c>
      <c r="BA299" s="304">
        <f t="shared" si="142"/>
        <v>0</v>
      </c>
      <c r="BB299" s="304">
        <f t="shared" si="143"/>
        <v>0</v>
      </c>
      <c r="BC299" s="304">
        <f t="shared" si="144"/>
        <v>0</v>
      </c>
      <c r="BD299" s="304">
        <f t="shared" si="145"/>
        <v>0</v>
      </c>
      <c r="BE299" s="304">
        <f t="shared" si="146"/>
        <v>0</v>
      </c>
      <c r="BF299" s="497">
        <f t="shared" si="147"/>
        <v>0</v>
      </c>
      <c r="BG299" s="496" t="str">
        <f t="shared" si="148"/>
        <v/>
      </c>
      <c r="BH299" s="304" t="str">
        <f t="shared" si="149"/>
        <v/>
      </c>
      <c r="BI299" s="304" t="str">
        <f t="shared" si="150"/>
        <v/>
      </c>
      <c r="BJ299" s="304" t="str">
        <f t="shared" si="151"/>
        <v/>
      </c>
      <c r="BK299" s="304" t="str">
        <f t="shared" si="152"/>
        <v/>
      </c>
      <c r="BL299" s="304" t="str">
        <f t="shared" si="153"/>
        <v/>
      </c>
      <c r="BM299" s="304" t="str">
        <f t="shared" si="154"/>
        <v/>
      </c>
      <c r="BN299" s="304" t="str">
        <f t="shared" si="155"/>
        <v/>
      </c>
      <c r="BO299" s="304" t="str">
        <f t="shared" si="156"/>
        <v/>
      </c>
      <c r="BP299" s="304" t="str">
        <f t="shared" si="157"/>
        <v/>
      </c>
      <c r="BQ299" s="304" t="str">
        <f t="shared" si="158"/>
        <v/>
      </c>
      <c r="BR299" s="304" t="str">
        <f t="shared" si="159"/>
        <v/>
      </c>
      <c r="BS299" s="497" t="str">
        <f t="shared" si="160"/>
        <v/>
      </c>
      <c r="BT299" s="302"/>
      <c r="BU299" s="302"/>
    </row>
    <row r="300" spans="1:73">
      <c r="A300" s="302"/>
      <c r="B300" s="302"/>
      <c r="C300" s="325" t="s">
        <v>400</v>
      </c>
      <c r="D300" s="326"/>
      <c r="E300" s="326"/>
      <c r="F300" s="327">
        <f t="shared" si="115"/>
        <v>0</v>
      </c>
      <c r="G300" s="325" t="s">
        <v>400</v>
      </c>
      <c r="H300" s="326"/>
      <c r="I300" s="326"/>
      <c r="J300" s="327">
        <f t="shared" si="116"/>
        <v>0</v>
      </c>
      <c r="K300" s="343">
        <f t="shared" si="117"/>
        <v>0</v>
      </c>
      <c r="L300" s="394"/>
      <c r="M300" s="394"/>
      <c r="N300" s="494">
        <f t="shared" si="118"/>
        <v>0</v>
      </c>
      <c r="O300" s="345">
        <v>0</v>
      </c>
      <c r="P300" s="346">
        <f t="shared" si="119"/>
        <v>0</v>
      </c>
      <c r="Q300" s="489" t="str">
        <f t="shared" si="120"/>
        <v/>
      </c>
      <c r="R300" s="490" t="str">
        <f t="shared" si="121"/>
        <v/>
      </c>
      <c r="S300" s="490" t="str">
        <f t="shared" si="122"/>
        <v/>
      </c>
      <c r="T300" s="490" t="str">
        <f t="shared" si="123"/>
        <v/>
      </c>
      <c r="U300" s="490" t="str">
        <f t="shared" si="124"/>
        <v/>
      </c>
      <c r="V300" s="490" t="str">
        <f t="shared" si="125"/>
        <v/>
      </c>
      <c r="W300" s="490" t="str">
        <f t="shared" si="126"/>
        <v/>
      </c>
      <c r="X300" s="490" t="str">
        <f t="shared" si="127"/>
        <v/>
      </c>
      <c r="Y300" s="490" t="str">
        <f t="shared" si="128"/>
        <v/>
      </c>
      <c r="Z300" s="490" t="str">
        <f t="shared" si="129"/>
        <v/>
      </c>
      <c r="AA300" s="490" t="str">
        <f t="shared" si="130"/>
        <v/>
      </c>
      <c r="AB300" s="490" t="str">
        <f t="shared" si="131"/>
        <v/>
      </c>
      <c r="AC300" s="335" t="str">
        <f t="shared" si="132"/>
        <v/>
      </c>
      <c r="AD300" s="396"/>
      <c r="AE300" s="495">
        <f t="shared" si="133"/>
        <v>0</v>
      </c>
      <c r="AF300" s="495">
        <f t="shared" si="134"/>
        <v>0</v>
      </c>
      <c r="AG300" s="496">
        <v>0</v>
      </c>
      <c r="AH300" s="304">
        <v>0</v>
      </c>
      <c r="AI300" s="304">
        <v>0</v>
      </c>
      <c r="AJ300" s="304">
        <v>0</v>
      </c>
      <c r="AK300" s="304">
        <v>0</v>
      </c>
      <c r="AL300" s="304">
        <v>0</v>
      </c>
      <c r="AM300" s="304">
        <v>0</v>
      </c>
      <c r="AN300" s="304">
        <v>0</v>
      </c>
      <c r="AO300" s="304">
        <v>0</v>
      </c>
      <c r="AP300" s="304">
        <v>0</v>
      </c>
      <c r="AQ300" s="304">
        <v>0</v>
      </c>
      <c r="AR300" s="304">
        <v>0</v>
      </c>
      <c r="AS300" s="497">
        <v>0</v>
      </c>
      <c r="AT300" s="496">
        <f t="shared" si="135"/>
        <v>0</v>
      </c>
      <c r="AU300" s="304">
        <f t="shared" si="136"/>
        <v>0</v>
      </c>
      <c r="AV300" s="304">
        <f t="shared" si="137"/>
        <v>0</v>
      </c>
      <c r="AW300" s="304">
        <f t="shared" si="138"/>
        <v>0</v>
      </c>
      <c r="AX300" s="304">
        <f t="shared" si="139"/>
        <v>0</v>
      </c>
      <c r="AY300" s="304">
        <f t="shared" si="140"/>
        <v>0</v>
      </c>
      <c r="AZ300" s="304">
        <f t="shared" si="141"/>
        <v>0</v>
      </c>
      <c r="BA300" s="304">
        <f t="shared" si="142"/>
        <v>0</v>
      </c>
      <c r="BB300" s="304">
        <f t="shared" si="143"/>
        <v>0</v>
      </c>
      <c r="BC300" s="304">
        <f t="shared" si="144"/>
        <v>0</v>
      </c>
      <c r="BD300" s="304">
        <f t="shared" si="145"/>
        <v>0</v>
      </c>
      <c r="BE300" s="304">
        <f t="shared" si="146"/>
        <v>0</v>
      </c>
      <c r="BF300" s="497">
        <f t="shared" si="147"/>
        <v>0</v>
      </c>
      <c r="BG300" s="496" t="str">
        <f t="shared" si="148"/>
        <v/>
      </c>
      <c r="BH300" s="304" t="str">
        <f t="shared" si="149"/>
        <v/>
      </c>
      <c r="BI300" s="304" t="str">
        <f t="shared" si="150"/>
        <v/>
      </c>
      <c r="BJ300" s="304" t="str">
        <f t="shared" si="151"/>
        <v/>
      </c>
      <c r="BK300" s="304" t="str">
        <f t="shared" si="152"/>
        <v/>
      </c>
      <c r="BL300" s="304" t="str">
        <f t="shared" si="153"/>
        <v/>
      </c>
      <c r="BM300" s="304" t="str">
        <f t="shared" si="154"/>
        <v/>
      </c>
      <c r="BN300" s="304" t="str">
        <f t="shared" si="155"/>
        <v/>
      </c>
      <c r="BO300" s="304" t="str">
        <f t="shared" si="156"/>
        <v/>
      </c>
      <c r="BP300" s="304" t="str">
        <f t="shared" si="157"/>
        <v/>
      </c>
      <c r="BQ300" s="304" t="str">
        <f t="shared" si="158"/>
        <v/>
      </c>
      <c r="BR300" s="304" t="str">
        <f t="shared" si="159"/>
        <v/>
      </c>
      <c r="BS300" s="497" t="str">
        <f t="shared" si="160"/>
        <v/>
      </c>
      <c r="BT300" s="302"/>
      <c r="BU300" s="302"/>
    </row>
    <row r="301" spans="1:73">
      <c r="A301" s="302"/>
      <c r="B301" s="302"/>
      <c r="C301" s="325" t="s">
        <v>400</v>
      </c>
      <c r="D301" s="326"/>
      <c r="E301" s="326"/>
      <c r="F301" s="327">
        <f t="shared" si="115"/>
        <v>0</v>
      </c>
      <c r="G301" s="325" t="s">
        <v>400</v>
      </c>
      <c r="H301" s="326"/>
      <c r="I301" s="326"/>
      <c r="J301" s="327">
        <f t="shared" si="116"/>
        <v>0</v>
      </c>
      <c r="K301" s="343">
        <f t="shared" si="117"/>
        <v>0</v>
      </c>
      <c r="L301" s="394"/>
      <c r="M301" s="394"/>
      <c r="N301" s="494">
        <f t="shared" si="118"/>
        <v>0</v>
      </c>
      <c r="O301" s="345">
        <v>0</v>
      </c>
      <c r="P301" s="346">
        <f t="shared" si="119"/>
        <v>0</v>
      </c>
      <c r="Q301" s="489" t="str">
        <f t="shared" si="120"/>
        <v/>
      </c>
      <c r="R301" s="490" t="str">
        <f t="shared" si="121"/>
        <v/>
      </c>
      <c r="S301" s="490" t="str">
        <f t="shared" si="122"/>
        <v/>
      </c>
      <c r="T301" s="490" t="str">
        <f t="shared" si="123"/>
        <v/>
      </c>
      <c r="U301" s="490" t="str">
        <f t="shared" si="124"/>
        <v/>
      </c>
      <c r="V301" s="490" t="str">
        <f t="shared" si="125"/>
        <v/>
      </c>
      <c r="W301" s="490" t="str">
        <f t="shared" si="126"/>
        <v/>
      </c>
      <c r="X301" s="490" t="str">
        <f t="shared" si="127"/>
        <v/>
      </c>
      <c r="Y301" s="490" t="str">
        <f t="shared" si="128"/>
        <v/>
      </c>
      <c r="Z301" s="490" t="str">
        <f t="shared" si="129"/>
        <v/>
      </c>
      <c r="AA301" s="490" t="str">
        <f t="shared" si="130"/>
        <v/>
      </c>
      <c r="AB301" s="490" t="str">
        <f t="shared" si="131"/>
        <v/>
      </c>
      <c r="AC301" s="335" t="str">
        <f t="shared" si="132"/>
        <v/>
      </c>
      <c r="AD301" s="396"/>
      <c r="AE301" s="495">
        <f t="shared" si="133"/>
        <v>0</v>
      </c>
      <c r="AF301" s="495">
        <f t="shared" si="134"/>
        <v>0</v>
      </c>
      <c r="AG301" s="496">
        <v>0</v>
      </c>
      <c r="AH301" s="304">
        <v>0</v>
      </c>
      <c r="AI301" s="304">
        <v>0</v>
      </c>
      <c r="AJ301" s="304">
        <v>0</v>
      </c>
      <c r="AK301" s="304">
        <v>0</v>
      </c>
      <c r="AL301" s="304">
        <v>0</v>
      </c>
      <c r="AM301" s="304">
        <v>0</v>
      </c>
      <c r="AN301" s="304">
        <v>0</v>
      </c>
      <c r="AO301" s="304">
        <v>0</v>
      </c>
      <c r="AP301" s="304">
        <v>0</v>
      </c>
      <c r="AQ301" s="304">
        <v>0</v>
      </c>
      <c r="AR301" s="304">
        <v>0</v>
      </c>
      <c r="AS301" s="497">
        <v>0</v>
      </c>
      <c r="AT301" s="496">
        <f t="shared" si="135"/>
        <v>0</v>
      </c>
      <c r="AU301" s="304">
        <f t="shared" si="136"/>
        <v>0</v>
      </c>
      <c r="AV301" s="304">
        <f t="shared" si="137"/>
        <v>0</v>
      </c>
      <c r="AW301" s="304">
        <f t="shared" si="138"/>
        <v>0</v>
      </c>
      <c r="AX301" s="304">
        <f t="shared" si="139"/>
        <v>0</v>
      </c>
      <c r="AY301" s="304">
        <f t="shared" si="140"/>
        <v>0</v>
      </c>
      <c r="AZ301" s="304">
        <f t="shared" si="141"/>
        <v>0</v>
      </c>
      <c r="BA301" s="304">
        <f t="shared" si="142"/>
        <v>0</v>
      </c>
      <c r="BB301" s="304">
        <f t="shared" si="143"/>
        <v>0</v>
      </c>
      <c r="BC301" s="304">
        <f t="shared" si="144"/>
        <v>0</v>
      </c>
      <c r="BD301" s="304">
        <f t="shared" si="145"/>
        <v>0</v>
      </c>
      <c r="BE301" s="304">
        <f t="shared" si="146"/>
        <v>0</v>
      </c>
      <c r="BF301" s="497">
        <f t="shared" si="147"/>
        <v>0</v>
      </c>
      <c r="BG301" s="496" t="str">
        <f t="shared" si="148"/>
        <v/>
      </c>
      <c r="BH301" s="304" t="str">
        <f t="shared" si="149"/>
        <v/>
      </c>
      <c r="BI301" s="304" t="str">
        <f t="shared" si="150"/>
        <v/>
      </c>
      <c r="BJ301" s="304" t="str">
        <f t="shared" si="151"/>
        <v/>
      </c>
      <c r="BK301" s="304" t="str">
        <f t="shared" si="152"/>
        <v/>
      </c>
      <c r="BL301" s="304" t="str">
        <f t="shared" si="153"/>
        <v/>
      </c>
      <c r="BM301" s="304" t="str">
        <f t="shared" si="154"/>
        <v/>
      </c>
      <c r="BN301" s="304" t="str">
        <f t="shared" si="155"/>
        <v/>
      </c>
      <c r="BO301" s="304" t="str">
        <f t="shared" si="156"/>
        <v/>
      </c>
      <c r="BP301" s="304" t="str">
        <f t="shared" si="157"/>
        <v/>
      </c>
      <c r="BQ301" s="304" t="str">
        <f t="shared" si="158"/>
        <v/>
      </c>
      <c r="BR301" s="304" t="str">
        <f t="shared" si="159"/>
        <v/>
      </c>
      <c r="BS301" s="497" t="str">
        <f t="shared" si="160"/>
        <v/>
      </c>
      <c r="BT301" s="302"/>
      <c r="BU301" s="302"/>
    </row>
    <row r="302" spans="1:73">
      <c r="A302" s="302"/>
      <c r="B302" s="302"/>
      <c r="C302" s="370" t="s">
        <v>400</v>
      </c>
      <c r="D302" s="498"/>
      <c r="E302" s="498"/>
      <c r="F302" s="350">
        <f t="shared" si="115"/>
        <v>0</v>
      </c>
      <c r="G302" s="370" t="s">
        <v>400</v>
      </c>
      <c r="H302" s="498"/>
      <c r="I302" s="498"/>
      <c r="J302" s="350">
        <f t="shared" si="116"/>
        <v>0</v>
      </c>
      <c r="K302" s="351">
        <f t="shared" si="117"/>
        <v>0</v>
      </c>
      <c r="L302" s="499"/>
      <c r="M302" s="499"/>
      <c r="N302" s="500">
        <f t="shared" si="118"/>
        <v>0</v>
      </c>
      <c r="O302" s="501">
        <v>0</v>
      </c>
      <c r="P302" s="502">
        <f t="shared" si="119"/>
        <v>0</v>
      </c>
      <c r="Q302" s="489" t="str">
        <f t="shared" si="120"/>
        <v/>
      </c>
      <c r="R302" s="490" t="str">
        <f t="shared" si="121"/>
        <v/>
      </c>
      <c r="S302" s="490" t="str">
        <f t="shared" si="122"/>
        <v/>
      </c>
      <c r="T302" s="490" t="str">
        <f t="shared" si="123"/>
        <v/>
      </c>
      <c r="U302" s="490" t="str">
        <f t="shared" si="124"/>
        <v/>
      </c>
      <c r="V302" s="490" t="str">
        <f t="shared" si="125"/>
        <v/>
      </c>
      <c r="W302" s="490" t="str">
        <f t="shared" si="126"/>
        <v/>
      </c>
      <c r="X302" s="490" t="str">
        <f t="shared" si="127"/>
        <v/>
      </c>
      <c r="Y302" s="490" t="str">
        <f t="shared" si="128"/>
        <v/>
      </c>
      <c r="Z302" s="490" t="str">
        <f t="shared" si="129"/>
        <v/>
      </c>
      <c r="AA302" s="490" t="str">
        <f t="shared" si="130"/>
        <v/>
      </c>
      <c r="AB302" s="490" t="str">
        <f t="shared" si="131"/>
        <v/>
      </c>
      <c r="AC302" s="335" t="str">
        <f t="shared" si="132"/>
        <v/>
      </c>
      <c r="AD302" s="396"/>
      <c r="AE302" s="503">
        <f t="shared" si="133"/>
        <v>0</v>
      </c>
      <c r="AF302" s="503">
        <f t="shared" si="134"/>
        <v>0</v>
      </c>
      <c r="AG302" s="504">
        <v>0</v>
      </c>
      <c r="AH302" s="505">
        <v>0</v>
      </c>
      <c r="AI302" s="505">
        <v>0</v>
      </c>
      <c r="AJ302" s="505">
        <v>0</v>
      </c>
      <c r="AK302" s="505">
        <v>0</v>
      </c>
      <c r="AL302" s="505">
        <v>0</v>
      </c>
      <c r="AM302" s="505">
        <v>0</v>
      </c>
      <c r="AN302" s="505">
        <v>0</v>
      </c>
      <c r="AO302" s="505">
        <v>0</v>
      </c>
      <c r="AP302" s="505">
        <v>0</v>
      </c>
      <c r="AQ302" s="505">
        <v>0</v>
      </c>
      <c r="AR302" s="505">
        <v>0</v>
      </c>
      <c r="AS302" s="506">
        <v>0</v>
      </c>
      <c r="AT302" s="504">
        <f t="shared" si="135"/>
        <v>0</v>
      </c>
      <c r="AU302" s="505">
        <f t="shared" si="136"/>
        <v>0</v>
      </c>
      <c r="AV302" s="505">
        <f t="shared" si="137"/>
        <v>0</v>
      </c>
      <c r="AW302" s="505">
        <f t="shared" si="138"/>
        <v>0</v>
      </c>
      <c r="AX302" s="505">
        <f t="shared" si="139"/>
        <v>0</v>
      </c>
      <c r="AY302" s="505">
        <f t="shared" si="140"/>
        <v>0</v>
      </c>
      <c r="AZ302" s="505">
        <f t="shared" si="141"/>
        <v>0</v>
      </c>
      <c r="BA302" s="505">
        <f t="shared" si="142"/>
        <v>0</v>
      </c>
      <c r="BB302" s="505">
        <f t="shared" si="143"/>
        <v>0</v>
      </c>
      <c r="BC302" s="505">
        <f t="shared" si="144"/>
        <v>0</v>
      </c>
      <c r="BD302" s="505">
        <f t="shared" si="145"/>
        <v>0</v>
      </c>
      <c r="BE302" s="505">
        <f t="shared" si="146"/>
        <v>0</v>
      </c>
      <c r="BF302" s="506">
        <f t="shared" si="147"/>
        <v>0</v>
      </c>
      <c r="BG302" s="504" t="str">
        <f t="shared" si="148"/>
        <v/>
      </c>
      <c r="BH302" s="505" t="str">
        <f t="shared" si="149"/>
        <v/>
      </c>
      <c r="BI302" s="505" t="str">
        <f t="shared" si="150"/>
        <v/>
      </c>
      <c r="BJ302" s="505" t="str">
        <f t="shared" si="151"/>
        <v/>
      </c>
      <c r="BK302" s="505" t="str">
        <f t="shared" si="152"/>
        <v/>
      </c>
      <c r="BL302" s="505" t="str">
        <f t="shared" si="153"/>
        <v/>
      </c>
      <c r="BM302" s="505" t="str">
        <f t="shared" si="154"/>
        <v/>
      </c>
      <c r="BN302" s="505" t="str">
        <f t="shared" si="155"/>
        <v/>
      </c>
      <c r="BO302" s="505" t="str">
        <f t="shared" si="156"/>
        <v/>
      </c>
      <c r="BP302" s="505" t="str">
        <f t="shared" si="157"/>
        <v/>
      </c>
      <c r="BQ302" s="505" t="str">
        <f t="shared" si="158"/>
        <v/>
      </c>
      <c r="BR302" s="505" t="str">
        <f t="shared" si="159"/>
        <v/>
      </c>
      <c r="BS302" s="506" t="str">
        <f t="shared" si="160"/>
        <v/>
      </c>
      <c r="BT302" s="302"/>
      <c r="BU302" s="302"/>
    </row>
    <row r="303" spans="1:73" s="342" customFormat="1" ht="20" customHeight="1">
      <c r="A303" s="324"/>
      <c r="B303" s="324"/>
      <c r="C303" s="365"/>
      <c r="D303" s="365"/>
      <c r="E303" s="365"/>
      <c r="F303" s="365"/>
      <c r="G303" s="365"/>
      <c r="H303" s="365"/>
      <c r="I303" s="365"/>
      <c r="J303" s="365"/>
      <c r="K303" s="365"/>
      <c r="L303" s="365"/>
      <c r="M303" s="365"/>
      <c r="N303" s="358">
        <f>SUMPRODUCT(K275:K302,N275:N302)</f>
        <v>14727</v>
      </c>
      <c r="O303" s="365"/>
      <c r="P303" s="428" t="s">
        <v>64</v>
      </c>
      <c r="Q303" s="360">
        <f t="shared" ref="Q303:AC303" si="161">SUM(Q275:Q302)</f>
        <v>33513</v>
      </c>
      <c r="R303" s="358">
        <f t="shared" si="161"/>
        <v>0</v>
      </c>
      <c r="S303" s="358">
        <f t="shared" si="161"/>
        <v>0</v>
      </c>
      <c r="T303" s="358">
        <f t="shared" si="161"/>
        <v>0</v>
      </c>
      <c r="U303" s="358">
        <f t="shared" si="161"/>
        <v>0</v>
      </c>
      <c r="V303" s="358">
        <f t="shared" si="161"/>
        <v>0</v>
      </c>
      <c r="W303" s="358">
        <f t="shared" si="161"/>
        <v>0</v>
      </c>
      <c r="X303" s="358">
        <f t="shared" si="161"/>
        <v>0</v>
      </c>
      <c r="Y303" s="358">
        <f t="shared" si="161"/>
        <v>0</v>
      </c>
      <c r="Z303" s="358">
        <f t="shared" si="161"/>
        <v>0</v>
      </c>
      <c r="AA303" s="358">
        <f t="shared" si="161"/>
        <v>0</v>
      </c>
      <c r="AB303" s="358">
        <f t="shared" si="161"/>
        <v>0</v>
      </c>
      <c r="AC303" s="361">
        <f t="shared" si="161"/>
        <v>0</v>
      </c>
      <c r="AD303" s="507">
        <f>ROUND(SUM(Q303:AC303)*112%,-2)</f>
        <v>37500</v>
      </c>
      <c r="AE303" s="364">
        <f>ROUND(SUM(AE275:AE302),0)</f>
        <v>781</v>
      </c>
      <c r="AF303" s="364">
        <f>ROUND(SUM(AF275:AF302),0)</f>
        <v>228</v>
      </c>
      <c r="AG303" s="365"/>
      <c r="AH303" s="365"/>
      <c r="AI303" s="365"/>
      <c r="AJ303" s="365"/>
      <c r="AK303" s="365"/>
      <c r="AL303" s="365"/>
      <c r="AM303" s="365"/>
      <c r="AN303" s="365"/>
      <c r="AO303" s="365"/>
      <c r="AP303" s="365"/>
      <c r="AQ303" s="365"/>
      <c r="AR303" s="365"/>
      <c r="AS303" s="365"/>
      <c r="AT303" s="365"/>
      <c r="AU303" s="365"/>
      <c r="AV303" s="365"/>
      <c r="AW303" s="365"/>
      <c r="AX303" s="365"/>
      <c r="AY303" s="365"/>
      <c r="AZ303" s="365"/>
      <c r="BA303" s="365"/>
      <c r="BB303" s="365"/>
      <c r="BC303" s="428"/>
      <c r="BD303" s="365"/>
      <c r="BE303" s="428"/>
      <c r="BF303" s="365"/>
      <c r="BG303" s="508">
        <f t="shared" ref="BG303:BS303" si="162">SUM(BG275:BG302)</f>
        <v>362</v>
      </c>
      <c r="BH303" s="434">
        <f t="shared" si="162"/>
        <v>0</v>
      </c>
      <c r="BI303" s="434">
        <f t="shared" si="162"/>
        <v>0</v>
      </c>
      <c r="BJ303" s="434">
        <f t="shared" si="162"/>
        <v>0</v>
      </c>
      <c r="BK303" s="434">
        <f t="shared" si="162"/>
        <v>0</v>
      </c>
      <c r="BL303" s="434">
        <f t="shared" si="162"/>
        <v>0</v>
      </c>
      <c r="BM303" s="434">
        <f t="shared" si="162"/>
        <v>0</v>
      </c>
      <c r="BN303" s="434">
        <f t="shared" si="162"/>
        <v>0</v>
      </c>
      <c r="BO303" s="434">
        <f t="shared" si="162"/>
        <v>0</v>
      </c>
      <c r="BP303" s="434">
        <f t="shared" si="162"/>
        <v>0</v>
      </c>
      <c r="BQ303" s="434">
        <f t="shared" si="162"/>
        <v>0</v>
      </c>
      <c r="BR303" s="434">
        <f t="shared" si="162"/>
        <v>0</v>
      </c>
      <c r="BS303" s="509">
        <f t="shared" si="162"/>
        <v>0</v>
      </c>
      <c r="BT303" s="324"/>
      <c r="BU303" s="324"/>
    </row>
    <row r="304" spans="1:73" s="342" customFormat="1" ht="20" customHeight="1">
      <c r="A304" s="324"/>
      <c r="B304" s="324"/>
      <c r="C304" s="365"/>
      <c r="D304" s="365"/>
      <c r="E304" s="365"/>
      <c r="F304" s="365"/>
      <c r="G304" s="365"/>
      <c r="H304" s="365"/>
      <c r="I304" s="365"/>
      <c r="J304" s="365"/>
      <c r="K304" s="428" t="s">
        <v>65</v>
      </c>
      <c r="L304" s="428">
        <f>SUM(L275:L302)</f>
        <v>362</v>
      </c>
      <c r="M304" s="365"/>
      <c r="N304" s="358">
        <f>N303+AD303</f>
        <v>52227</v>
      </c>
      <c r="O304" s="365"/>
      <c r="P304" s="428" t="s">
        <v>66</v>
      </c>
      <c r="Q304" s="370">
        <f t="shared" ref="Q304:AC304" si="163">BG303</f>
        <v>362</v>
      </c>
      <c r="R304" s="371">
        <f t="shared" si="163"/>
        <v>0</v>
      </c>
      <c r="S304" s="371">
        <f t="shared" si="163"/>
        <v>0</v>
      </c>
      <c r="T304" s="371">
        <f t="shared" si="163"/>
        <v>0</v>
      </c>
      <c r="U304" s="371">
        <f t="shared" si="163"/>
        <v>0</v>
      </c>
      <c r="V304" s="371">
        <f t="shared" si="163"/>
        <v>0</v>
      </c>
      <c r="W304" s="371">
        <f t="shared" si="163"/>
        <v>0</v>
      </c>
      <c r="X304" s="371">
        <f t="shared" si="163"/>
        <v>0</v>
      </c>
      <c r="Y304" s="371">
        <f t="shared" si="163"/>
        <v>0</v>
      </c>
      <c r="Z304" s="371">
        <f t="shared" si="163"/>
        <v>0</v>
      </c>
      <c r="AA304" s="371">
        <f t="shared" si="163"/>
        <v>0</v>
      </c>
      <c r="AB304" s="371">
        <f t="shared" si="163"/>
        <v>0</v>
      </c>
      <c r="AC304" s="372">
        <f t="shared" si="163"/>
        <v>0</v>
      </c>
      <c r="AD304" s="371">
        <f>SUM(Q304:AC304)</f>
        <v>362</v>
      </c>
      <c r="AE304" s="324"/>
      <c r="AF304" s="324"/>
      <c r="AG304" s="324"/>
      <c r="AH304" s="324"/>
      <c r="AI304" s="324"/>
      <c r="AJ304" s="324"/>
      <c r="AK304" s="324"/>
      <c r="AL304" s="324"/>
      <c r="AM304" s="324"/>
      <c r="AN304" s="324"/>
      <c r="AO304" s="324"/>
      <c r="AP304" s="324"/>
      <c r="AQ304" s="324"/>
      <c r="AR304" s="324"/>
      <c r="AS304" s="324"/>
      <c r="AT304" s="324"/>
      <c r="AU304" s="324"/>
      <c r="AV304" s="324"/>
      <c r="AW304" s="324"/>
      <c r="AX304" s="324"/>
      <c r="AY304" s="324"/>
      <c r="AZ304" s="324"/>
      <c r="BA304" s="324"/>
      <c r="BB304" s="324"/>
      <c r="BC304" s="324"/>
      <c r="BD304" s="324"/>
      <c r="BE304" s="324"/>
      <c r="BF304" s="324"/>
      <c r="BG304" s="324"/>
      <c r="BH304" s="324"/>
      <c r="BI304" s="324"/>
      <c r="BJ304" s="324"/>
      <c r="BK304" s="324"/>
      <c r="BL304" s="324"/>
      <c r="BM304" s="324"/>
      <c r="BN304" s="324"/>
      <c r="BO304" s="324"/>
      <c r="BP304" s="324"/>
      <c r="BQ304" s="324"/>
      <c r="BR304" s="324"/>
      <c r="BS304" s="324"/>
      <c r="BT304" s="324"/>
      <c r="BU304" s="324"/>
    </row>
    <row r="305" spans="1:73" s="342" customFormat="1" ht="20" customHeight="1">
      <c r="A305" s="305" t="s">
        <v>378</v>
      </c>
      <c r="B305" s="324"/>
      <c r="C305" s="365"/>
      <c r="D305" s="365"/>
      <c r="E305" s="365"/>
      <c r="F305" s="365"/>
      <c r="G305" s="365"/>
      <c r="H305" s="365"/>
      <c r="I305" s="365"/>
      <c r="J305" s="365"/>
      <c r="K305" s="365"/>
      <c r="L305" s="365"/>
      <c r="M305" s="365"/>
      <c r="N305" s="365"/>
      <c r="O305" s="365"/>
      <c r="P305" s="428" t="s">
        <v>67</v>
      </c>
      <c r="Q305" s="510">
        <f t="shared" ref="Q305:AD305" si="164">IF(Q303&gt;0,Q303/Q304,0)</f>
        <v>92.577348066298342</v>
      </c>
      <c r="R305" s="511">
        <f t="shared" si="164"/>
        <v>0</v>
      </c>
      <c r="S305" s="511">
        <f t="shared" si="164"/>
        <v>0</v>
      </c>
      <c r="T305" s="511">
        <f t="shared" si="164"/>
        <v>0</v>
      </c>
      <c r="U305" s="511">
        <f t="shared" si="164"/>
        <v>0</v>
      </c>
      <c r="V305" s="511">
        <f t="shared" si="164"/>
        <v>0</v>
      </c>
      <c r="W305" s="511">
        <f t="shared" si="164"/>
        <v>0</v>
      </c>
      <c r="X305" s="511">
        <f t="shared" si="164"/>
        <v>0</v>
      </c>
      <c r="Y305" s="511">
        <f t="shared" si="164"/>
        <v>0</v>
      </c>
      <c r="Z305" s="511">
        <f t="shared" si="164"/>
        <v>0</v>
      </c>
      <c r="AA305" s="511">
        <f t="shared" si="164"/>
        <v>0</v>
      </c>
      <c r="AB305" s="511">
        <f t="shared" si="164"/>
        <v>0</v>
      </c>
      <c r="AC305" s="512">
        <f t="shared" si="164"/>
        <v>0</v>
      </c>
      <c r="AD305" s="511">
        <f t="shared" si="164"/>
        <v>103.59116022099448</v>
      </c>
      <c r="AE305" s="373" t="str">
        <f>IF(AD304=L304,"","CHECK LENGTH")</f>
        <v/>
      </c>
      <c r="AF305" s="324"/>
      <c r="AG305" s="324"/>
      <c r="AH305" s="324"/>
      <c r="AI305" s="324"/>
      <c r="AJ305" s="324"/>
      <c r="AK305" s="324"/>
      <c r="AL305" s="324"/>
      <c r="AM305" s="324"/>
      <c r="AN305" s="324"/>
      <c r="AO305" s="324"/>
      <c r="AP305" s="324"/>
      <c r="AQ305" s="324"/>
      <c r="AR305" s="324"/>
      <c r="AS305" s="324"/>
      <c r="AT305" s="324"/>
      <c r="AU305" s="324"/>
      <c r="AV305" s="324"/>
      <c r="AW305" s="324"/>
      <c r="AX305" s="324"/>
      <c r="AY305" s="324"/>
      <c r="AZ305" s="324"/>
      <c r="BA305" s="324"/>
      <c r="BB305" s="324"/>
      <c r="BC305" s="324"/>
      <c r="BD305" s="324"/>
      <c r="BE305" s="324"/>
      <c r="BF305" s="324"/>
      <c r="BG305" s="324"/>
      <c r="BH305" s="324"/>
      <c r="BI305" s="324"/>
      <c r="BJ305" s="324"/>
      <c r="BK305" s="324"/>
      <c r="BL305" s="324"/>
      <c r="BM305" s="324"/>
      <c r="BN305" s="324"/>
      <c r="BO305" s="324"/>
      <c r="BP305" s="324"/>
      <c r="BQ305" s="324"/>
      <c r="BR305" s="324"/>
      <c r="BS305" s="324"/>
      <c r="BT305" s="324"/>
      <c r="BU305" s="324"/>
    </row>
    <row r="306" spans="1:73" ht="14" thickBot="1">
      <c r="A306" s="308" t="s">
        <v>40</v>
      </c>
      <c r="B306" s="305"/>
      <c r="C306" s="309"/>
      <c r="D306" s="309"/>
      <c r="E306" s="309"/>
      <c r="F306" s="309"/>
      <c r="G306" s="309"/>
      <c r="H306" s="309"/>
      <c r="I306" s="309"/>
      <c r="J306" s="309"/>
      <c r="K306" s="309"/>
      <c r="L306" s="304"/>
      <c r="M306" s="304"/>
      <c r="N306" s="304"/>
      <c r="O306" s="304"/>
      <c r="P306" s="304"/>
      <c r="Q306" s="309">
        <v>150</v>
      </c>
      <c r="R306" s="309">
        <v>225</v>
      </c>
      <c r="S306" s="309">
        <v>300</v>
      </c>
      <c r="T306" s="309">
        <v>375</v>
      </c>
      <c r="U306" s="309">
        <v>450</v>
      </c>
      <c r="V306" s="309">
        <v>525</v>
      </c>
      <c r="W306" s="309">
        <v>600</v>
      </c>
      <c r="X306" s="309">
        <v>675</v>
      </c>
      <c r="Y306" s="309">
        <v>750</v>
      </c>
      <c r="Z306" s="309">
        <v>900</v>
      </c>
      <c r="AA306" s="309">
        <v>1050</v>
      </c>
      <c r="AB306" s="309">
        <v>1200</v>
      </c>
      <c r="AC306" s="309">
        <v>1350</v>
      </c>
      <c r="AD306" s="309" t="b">
        <f>AD304=L304</f>
        <v>1</v>
      </c>
      <c r="AE306" s="302"/>
      <c r="AF306" s="302"/>
      <c r="AG306" s="302"/>
      <c r="AH306" s="302"/>
      <c r="AI306" s="302"/>
      <c r="AJ306" s="302"/>
      <c r="AK306" s="302"/>
      <c r="AL306" s="302"/>
      <c r="AM306" s="302"/>
      <c r="AN306" s="302"/>
      <c r="AO306" s="302"/>
      <c r="AP306" s="302"/>
      <c r="AQ306" s="302"/>
      <c r="AR306" s="302"/>
      <c r="AS306" s="302"/>
      <c r="AT306" s="302"/>
      <c r="AU306" s="302"/>
      <c r="AV306" s="302"/>
      <c r="AW306" s="302"/>
      <c r="AX306" s="302"/>
      <c r="AY306" s="302"/>
      <c r="AZ306" s="302"/>
      <c r="BA306" s="302"/>
      <c r="BB306" s="302"/>
      <c r="BC306" s="302"/>
      <c r="BD306" s="302"/>
      <c r="BE306" s="302"/>
      <c r="BF306" s="302"/>
      <c r="BG306" s="302"/>
      <c r="BH306" s="302"/>
      <c r="BI306" s="302"/>
      <c r="BJ306" s="302"/>
      <c r="BK306" s="302"/>
      <c r="BL306" s="302"/>
      <c r="BM306" s="302"/>
      <c r="BN306" s="302"/>
      <c r="BO306" s="302"/>
      <c r="BP306" s="302"/>
      <c r="BQ306" s="302"/>
      <c r="BR306" s="302"/>
      <c r="BS306" s="302"/>
      <c r="BT306" s="302"/>
      <c r="BU306" s="302"/>
    </row>
    <row r="307" spans="1:73">
      <c r="A307" s="310" t="s">
        <v>68</v>
      </c>
      <c r="B307" s="311"/>
      <c r="C307" s="311" t="s">
        <v>0</v>
      </c>
      <c r="D307" s="311" t="s">
        <v>56</v>
      </c>
      <c r="E307" s="311" t="s">
        <v>57</v>
      </c>
      <c r="F307" s="311" t="s">
        <v>37</v>
      </c>
      <c r="G307" s="311" t="s">
        <v>70</v>
      </c>
      <c r="H307" s="311" t="s">
        <v>71</v>
      </c>
      <c r="I307" s="311" t="s">
        <v>401</v>
      </c>
      <c r="J307" s="312"/>
      <c r="K307" s="313" t="s">
        <v>73</v>
      </c>
      <c r="L307" s="311" t="s">
        <v>51</v>
      </c>
      <c r="M307" s="312" t="s">
        <v>74</v>
      </c>
      <c r="N307" s="302"/>
      <c r="O307" s="302"/>
      <c r="P307" s="302"/>
      <c r="Q307" s="302"/>
      <c r="R307" s="302"/>
      <c r="S307" s="302"/>
      <c r="T307" s="302"/>
      <c r="U307" s="302"/>
      <c r="V307" s="302"/>
      <c r="W307" s="302"/>
      <c r="X307" s="302"/>
      <c r="Y307" s="302"/>
      <c r="Z307" s="302"/>
      <c r="AA307" s="302"/>
      <c r="AB307" s="302"/>
      <c r="AC307" s="302"/>
      <c r="AD307" s="302"/>
      <c r="AE307" s="302"/>
      <c r="AF307" s="1180" t="s">
        <v>75</v>
      </c>
      <c r="AG307" s="1181"/>
      <c r="AH307" s="1181"/>
      <c r="AI307" s="1181"/>
      <c r="AJ307" s="1181"/>
      <c r="AK307" s="1181"/>
      <c r="AL307" s="1181"/>
      <c r="AM307" s="1181"/>
      <c r="AN307" s="1181"/>
      <c r="AO307" s="1182"/>
      <c r="AP307" s="1180" t="s">
        <v>75</v>
      </c>
      <c r="AQ307" s="1181"/>
      <c r="AR307" s="1181"/>
      <c r="AS307" s="1181"/>
      <c r="AT307" s="1181"/>
      <c r="AU307" s="1181"/>
      <c r="AV307" s="1181"/>
      <c r="AW307" s="1181"/>
      <c r="AX307" s="1181"/>
      <c r="AY307" s="1182"/>
      <c r="AZ307" s="302"/>
      <c r="BA307" s="302"/>
      <c r="BB307" s="302"/>
      <c r="BC307" s="302"/>
      <c r="BD307" s="302"/>
      <c r="BE307" s="302"/>
      <c r="BF307" s="302"/>
      <c r="BG307" s="302"/>
      <c r="BH307" s="302"/>
      <c r="BI307" s="302"/>
      <c r="BJ307" s="302"/>
      <c r="BK307" s="302"/>
      <c r="BL307" s="302"/>
      <c r="BM307" s="302"/>
      <c r="BN307" s="302"/>
      <c r="BO307" s="302"/>
      <c r="BP307" s="302"/>
      <c r="BQ307" s="302"/>
      <c r="BR307" s="302"/>
      <c r="BS307" s="302"/>
      <c r="BT307" s="302"/>
      <c r="BU307" s="302"/>
    </row>
    <row r="308" spans="1:73" ht="14" thickBot="1">
      <c r="A308" s="374" t="s">
        <v>76</v>
      </c>
      <c r="B308" s="486"/>
      <c r="C308" s="486"/>
      <c r="D308" s="486"/>
      <c r="E308" s="486"/>
      <c r="F308" s="486"/>
      <c r="G308" s="486"/>
      <c r="H308" s="486"/>
      <c r="I308" s="486" t="s">
        <v>77</v>
      </c>
      <c r="J308" s="375"/>
      <c r="K308" s="322"/>
      <c r="L308" s="486" t="s">
        <v>78</v>
      </c>
      <c r="M308" s="375" t="s">
        <v>78</v>
      </c>
      <c r="N308" s="302"/>
      <c r="O308" s="302"/>
      <c r="P308" s="302"/>
      <c r="Q308" s="302"/>
      <c r="R308" s="302"/>
      <c r="S308" s="302"/>
      <c r="T308" s="302"/>
      <c r="U308" s="302"/>
      <c r="V308" s="302"/>
      <c r="W308" s="302"/>
      <c r="X308" s="302"/>
      <c r="Y308" s="302"/>
      <c r="Z308" s="302"/>
      <c r="AA308" s="302"/>
      <c r="AB308" s="302"/>
      <c r="AC308" s="302"/>
      <c r="AD308" s="302"/>
      <c r="AE308" s="302"/>
      <c r="AF308" s="379">
        <v>900</v>
      </c>
      <c r="AG308" s="380">
        <v>1050</v>
      </c>
      <c r="AH308" s="380">
        <v>1200</v>
      </c>
      <c r="AI308" s="380">
        <v>1350</v>
      </c>
      <c r="AJ308" s="380">
        <v>1500</v>
      </c>
      <c r="AK308" s="380">
        <v>1800</v>
      </c>
      <c r="AL308" s="380">
        <v>2100</v>
      </c>
      <c r="AM308" s="380">
        <v>2400</v>
      </c>
      <c r="AN308" s="380">
        <v>2700</v>
      </c>
      <c r="AO308" s="381">
        <v>3000</v>
      </c>
      <c r="AP308" s="379">
        <v>900</v>
      </c>
      <c r="AQ308" s="380">
        <v>1050</v>
      </c>
      <c r="AR308" s="380">
        <v>1200</v>
      </c>
      <c r="AS308" s="380">
        <v>1350</v>
      </c>
      <c r="AT308" s="380">
        <v>1500</v>
      </c>
      <c r="AU308" s="380">
        <v>1800</v>
      </c>
      <c r="AV308" s="380">
        <v>2100</v>
      </c>
      <c r="AW308" s="380">
        <v>2400</v>
      </c>
      <c r="AX308" s="380">
        <v>2700</v>
      </c>
      <c r="AY308" s="381">
        <v>3000</v>
      </c>
      <c r="AZ308" s="302"/>
      <c r="BA308" s="302"/>
      <c r="BB308" s="302"/>
      <c r="BC308" s="302"/>
      <c r="BD308" s="302"/>
      <c r="BE308" s="302"/>
      <c r="BF308" s="302"/>
      <c r="BG308" s="302"/>
      <c r="BH308" s="302"/>
      <c r="BI308" s="302"/>
      <c r="BJ308" s="302"/>
      <c r="BK308" s="302"/>
      <c r="BL308" s="302"/>
      <c r="BM308" s="302"/>
      <c r="BN308" s="302"/>
      <c r="BO308" s="302"/>
      <c r="BP308" s="302"/>
      <c r="BQ308" s="302"/>
      <c r="BR308" s="302"/>
      <c r="BS308" s="302"/>
      <c r="BT308" s="302"/>
      <c r="BU308" s="302"/>
    </row>
    <row r="309" spans="1:73">
      <c r="A309" s="325"/>
      <c r="B309" s="394"/>
      <c r="C309" s="394" t="s">
        <v>381</v>
      </c>
      <c r="D309" s="326">
        <v>114.9</v>
      </c>
      <c r="E309" s="326">
        <v>112.42100000000001</v>
      </c>
      <c r="F309" s="395">
        <f t="shared" ref="F309:F331" si="165">CEILING(D309-E309,0.25)</f>
        <v>2.5</v>
      </c>
      <c r="G309" s="394">
        <v>1200</v>
      </c>
      <c r="H309" s="396">
        <f t="shared" ref="H309:H331" si="166">IF((SUM(AP309:AY309))&gt;I309,SUM(AP309:AY309),I309)</f>
        <v>1855</v>
      </c>
      <c r="I309" s="396">
        <v>1680</v>
      </c>
      <c r="J309" s="397"/>
      <c r="K309" s="398"/>
      <c r="L309" s="387">
        <f t="shared" ref="L309:L331" si="167">22/7*(G309/2/1000)*(G309/2/1000)*F309</f>
        <v>2.8285714285714287</v>
      </c>
      <c r="M309" s="388">
        <f t="shared" ref="M309:M331" si="168">IF(G309&gt;0,(22/7*(1500/2/1000)*(1500/2/1000)*2),0)</f>
        <v>3.5357142857142856</v>
      </c>
      <c r="N309" s="302"/>
      <c r="O309" s="302"/>
      <c r="P309" s="302"/>
      <c r="Q309" s="302"/>
      <c r="R309" s="302"/>
      <c r="S309" s="302"/>
      <c r="T309" s="302"/>
      <c r="U309" s="302"/>
      <c r="V309" s="302"/>
      <c r="W309" s="302"/>
      <c r="X309" s="302"/>
      <c r="Y309" s="302"/>
      <c r="Z309" s="302"/>
      <c r="AA309" s="302"/>
      <c r="AB309" s="302"/>
      <c r="AC309" s="302"/>
      <c r="AD309" s="302"/>
      <c r="AE309" s="302"/>
      <c r="AF309" s="391">
        <v>0</v>
      </c>
      <c r="AG309" s="392">
        <v>0</v>
      </c>
      <c r="AH309" s="392">
        <v>1855</v>
      </c>
      <c r="AI309" s="392">
        <v>2165</v>
      </c>
      <c r="AJ309" s="392">
        <v>2615</v>
      </c>
      <c r="AK309" s="392">
        <v>3070</v>
      </c>
      <c r="AL309" s="392">
        <v>3736</v>
      </c>
      <c r="AM309" s="392">
        <v>5245</v>
      </c>
      <c r="AN309" s="392">
        <v>5680</v>
      </c>
      <c r="AO309" s="393">
        <v>7629</v>
      </c>
      <c r="AP309" s="391">
        <f t="shared" ref="AP309:AP331" si="169">IF($G309=$AG$118,AF309,0)</f>
        <v>0</v>
      </c>
      <c r="AQ309" s="392">
        <f t="shared" ref="AQ309:AQ331" si="170">IF($G309=$AH$118,AG309,0)</f>
        <v>0</v>
      </c>
      <c r="AR309" s="392">
        <f t="shared" ref="AR309:AR331" si="171">IF($G309=$AI$118,AH309,0)</f>
        <v>1855</v>
      </c>
      <c r="AS309" s="392">
        <f t="shared" ref="AS309:AS331" si="172">IF($G309=$AJ$118,AI309,0)</f>
        <v>0</v>
      </c>
      <c r="AT309" s="392">
        <f t="shared" ref="AT309:AT331" si="173">IF($G309=$AK$118,AJ309,0)</f>
        <v>0</v>
      </c>
      <c r="AU309" s="392">
        <f t="shared" ref="AU309:AU331" si="174">IF($G309=$AL$118,AK309,0)</f>
        <v>0</v>
      </c>
      <c r="AV309" s="392">
        <f t="shared" ref="AV309:AV331" si="175">IF($G309=$AM$118,AL309,0)</f>
        <v>0</v>
      </c>
      <c r="AW309" s="392">
        <f t="shared" ref="AW309:AW331" si="176">IF($G309=$AN$118,AM309,0)</f>
        <v>0</v>
      </c>
      <c r="AX309" s="392">
        <f t="shared" ref="AX309:AX331" si="177">IF($G309=$AO$118,AN309,0)</f>
        <v>0</v>
      </c>
      <c r="AY309" s="393">
        <f t="shared" ref="AY309:AY331" si="178">IF($G309=$AP$118,AO309,0)</f>
        <v>0</v>
      </c>
      <c r="AZ309" s="302"/>
      <c r="BA309" s="302"/>
      <c r="BB309" s="302"/>
      <c r="BC309" s="302"/>
      <c r="BD309" s="302"/>
      <c r="BE309" s="302"/>
      <c r="BF309" s="302"/>
      <c r="BG309" s="302"/>
      <c r="BH309" s="302"/>
      <c r="BI309" s="302"/>
      <c r="BJ309" s="302"/>
      <c r="BK309" s="302"/>
      <c r="BL309" s="302"/>
      <c r="BM309" s="302"/>
      <c r="BN309" s="302"/>
      <c r="BO309" s="302"/>
      <c r="BP309" s="302"/>
      <c r="BQ309" s="302"/>
      <c r="BR309" s="302"/>
      <c r="BS309" s="302"/>
      <c r="BT309" s="302"/>
      <c r="BU309" s="302"/>
    </row>
    <row r="310" spans="1:73">
      <c r="A310" s="325"/>
      <c r="B310" s="394"/>
      <c r="C310" s="394" t="s">
        <v>382</v>
      </c>
      <c r="D310" s="326">
        <v>115.669</v>
      </c>
      <c r="E310" s="326">
        <v>112.22199999999999</v>
      </c>
      <c r="F310" s="395">
        <f t="shared" si="165"/>
        <v>3.5</v>
      </c>
      <c r="G310" s="394">
        <v>1350</v>
      </c>
      <c r="H310" s="396">
        <f t="shared" si="166"/>
        <v>2590</v>
      </c>
      <c r="I310" s="396">
        <v>1680</v>
      </c>
      <c r="J310" s="397"/>
      <c r="K310" s="398"/>
      <c r="L310" s="399">
        <f t="shared" si="167"/>
        <v>5.0118749999999999</v>
      </c>
      <c r="M310" s="400">
        <f t="shared" si="168"/>
        <v>3.5357142857142856</v>
      </c>
      <c r="N310" s="302"/>
      <c r="O310" s="302"/>
      <c r="P310" s="302"/>
      <c r="Q310" s="302"/>
      <c r="R310" s="302"/>
      <c r="S310" s="302"/>
      <c r="T310" s="302"/>
      <c r="U310" s="302"/>
      <c r="V310" s="302"/>
      <c r="W310" s="302"/>
      <c r="X310" s="302"/>
      <c r="Y310" s="302"/>
      <c r="Z310" s="302"/>
      <c r="AA310" s="302"/>
      <c r="AB310" s="302"/>
      <c r="AC310" s="302"/>
      <c r="AD310" s="302"/>
      <c r="AE310" s="302"/>
      <c r="AF310" s="391">
        <v>0</v>
      </c>
      <c r="AG310" s="392">
        <v>0</v>
      </c>
      <c r="AH310" s="392">
        <v>2370</v>
      </c>
      <c r="AI310" s="392">
        <v>2590</v>
      </c>
      <c r="AJ310" s="392">
        <v>3370</v>
      </c>
      <c r="AK310" s="392">
        <v>4168</v>
      </c>
      <c r="AL310" s="392">
        <v>5072</v>
      </c>
      <c r="AM310" s="392">
        <v>6409</v>
      </c>
      <c r="AN310" s="392">
        <v>7770</v>
      </c>
      <c r="AO310" s="393">
        <v>10436</v>
      </c>
      <c r="AP310" s="391">
        <f t="shared" si="169"/>
        <v>0</v>
      </c>
      <c r="AQ310" s="392">
        <f t="shared" si="170"/>
        <v>0</v>
      </c>
      <c r="AR310" s="392">
        <f t="shared" si="171"/>
        <v>0</v>
      </c>
      <c r="AS310" s="392">
        <f t="shared" si="172"/>
        <v>2590</v>
      </c>
      <c r="AT310" s="392">
        <f t="shared" si="173"/>
        <v>0</v>
      </c>
      <c r="AU310" s="392">
        <f t="shared" si="174"/>
        <v>0</v>
      </c>
      <c r="AV310" s="392">
        <f t="shared" si="175"/>
        <v>0</v>
      </c>
      <c r="AW310" s="392">
        <f t="shared" si="176"/>
        <v>0</v>
      </c>
      <c r="AX310" s="392">
        <f t="shared" si="177"/>
        <v>0</v>
      </c>
      <c r="AY310" s="393">
        <f t="shared" si="178"/>
        <v>0</v>
      </c>
      <c r="AZ310" s="302"/>
      <c r="BA310" s="302"/>
      <c r="BB310" s="302"/>
      <c r="BC310" s="302"/>
      <c r="BD310" s="302"/>
      <c r="BE310" s="302"/>
      <c r="BF310" s="302"/>
      <c r="BG310" s="302"/>
      <c r="BH310" s="302"/>
      <c r="BI310" s="302"/>
      <c r="BJ310" s="302"/>
      <c r="BK310" s="302"/>
      <c r="BL310" s="302"/>
      <c r="BM310" s="302"/>
      <c r="BN310" s="302"/>
      <c r="BO310" s="302"/>
      <c r="BP310" s="302"/>
      <c r="BQ310" s="302"/>
      <c r="BR310" s="302"/>
      <c r="BS310" s="302"/>
      <c r="BT310" s="302"/>
      <c r="BU310" s="302"/>
    </row>
    <row r="311" spans="1:73">
      <c r="A311" s="325"/>
      <c r="B311" s="394"/>
      <c r="C311" s="394" t="s">
        <v>383</v>
      </c>
      <c r="D311" s="326">
        <v>116.41500000000001</v>
      </c>
      <c r="E311" s="326">
        <v>112.003</v>
      </c>
      <c r="F311" s="395">
        <f t="shared" si="165"/>
        <v>4.5</v>
      </c>
      <c r="G311" s="394">
        <v>1500</v>
      </c>
      <c r="H311" s="396">
        <f t="shared" si="166"/>
        <v>5544</v>
      </c>
      <c r="I311" s="396">
        <v>1680</v>
      </c>
      <c r="J311" s="397"/>
      <c r="K311" s="398"/>
      <c r="L311" s="399">
        <f t="shared" si="167"/>
        <v>7.9553571428571423</v>
      </c>
      <c r="M311" s="400">
        <f t="shared" si="168"/>
        <v>3.5357142857142856</v>
      </c>
      <c r="N311" s="302"/>
      <c r="O311" s="302"/>
      <c r="P311" s="302"/>
      <c r="Q311" s="302"/>
      <c r="R311" s="302"/>
      <c r="S311" s="302"/>
      <c r="T311" s="302"/>
      <c r="U311" s="302"/>
      <c r="V311" s="302"/>
      <c r="W311" s="302"/>
      <c r="X311" s="302"/>
      <c r="Y311" s="302"/>
      <c r="Z311" s="302"/>
      <c r="AA311" s="302"/>
      <c r="AB311" s="302"/>
      <c r="AC311" s="302"/>
      <c r="AD311" s="302"/>
      <c r="AE311" s="302"/>
      <c r="AF311" s="391">
        <v>0</v>
      </c>
      <c r="AG311" s="392">
        <v>0</v>
      </c>
      <c r="AH311" s="392">
        <v>4380</v>
      </c>
      <c r="AI311" s="392">
        <v>4773</v>
      </c>
      <c r="AJ311" s="392">
        <v>5544</v>
      </c>
      <c r="AK311" s="392">
        <v>6030</v>
      </c>
      <c r="AL311" s="392">
        <v>7340</v>
      </c>
      <c r="AM311" s="392">
        <v>8680</v>
      </c>
      <c r="AN311" s="392">
        <v>8870</v>
      </c>
      <c r="AO311" s="393">
        <v>9270</v>
      </c>
      <c r="AP311" s="391">
        <f t="shared" si="169"/>
        <v>0</v>
      </c>
      <c r="AQ311" s="392">
        <f t="shared" si="170"/>
        <v>0</v>
      </c>
      <c r="AR311" s="392">
        <f t="shared" si="171"/>
        <v>0</v>
      </c>
      <c r="AS311" s="392">
        <f t="shared" si="172"/>
        <v>0</v>
      </c>
      <c r="AT311" s="392">
        <f t="shared" si="173"/>
        <v>5544</v>
      </c>
      <c r="AU311" s="392">
        <f t="shared" si="174"/>
        <v>0</v>
      </c>
      <c r="AV311" s="392">
        <f t="shared" si="175"/>
        <v>0</v>
      </c>
      <c r="AW311" s="392">
        <f t="shared" si="176"/>
        <v>0</v>
      </c>
      <c r="AX311" s="392">
        <f t="shared" si="177"/>
        <v>0</v>
      </c>
      <c r="AY311" s="393">
        <f t="shared" si="178"/>
        <v>0</v>
      </c>
      <c r="AZ311" s="302"/>
      <c r="BA311" s="302"/>
      <c r="BB311" s="302"/>
      <c r="BC311" s="302"/>
      <c r="BD311" s="302"/>
      <c r="BE311" s="302"/>
      <c r="BF311" s="302"/>
      <c r="BG311" s="302"/>
      <c r="BH311" s="302"/>
      <c r="BI311" s="302"/>
      <c r="BJ311" s="302"/>
      <c r="BK311" s="302"/>
      <c r="BL311" s="302"/>
      <c r="BM311" s="302"/>
      <c r="BN311" s="302"/>
      <c r="BO311" s="302"/>
      <c r="BP311" s="302"/>
      <c r="BQ311" s="302"/>
      <c r="BR311" s="302"/>
      <c r="BS311" s="302"/>
      <c r="BT311" s="302"/>
      <c r="BU311" s="302"/>
    </row>
    <row r="312" spans="1:73">
      <c r="A312" s="325"/>
      <c r="B312" s="394"/>
      <c r="C312" s="394" t="s">
        <v>384</v>
      </c>
      <c r="D312" s="326">
        <v>117.059</v>
      </c>
      <c r="E312" s="326">
        <v>111.81699999999999</v>
      </c>
      <c r="F312" s="395">
        <f t="shared" si="165"/>
        <v>5.25</v>
      </c>
      <c r="G312" s="394">
        <v>1500</v>
      </c>
      <c r="H312" s="396">
        <f t="shared" si="166"/>
        <v>6125</v>
      </c>
      <c r="I312" s="396">
        <v>1680</v>
      </c>
      <c r="J312" s="397"/>
      <c r="K312" s="398"/>
      <c r="L312" s="399">
        <f t="shared" si="167"/>
        <v>9.28125</v>
      </c>
      <c r="M312" s="400">
        <f t="shared" si="168"/>
        <v>3.5357142857142856</v>
      </c>
      <c r="N312" s="302"/>
      <c r="O312" s="302"/>
      <c r="P312" s="302"/>
      <c r="Q312" s="302"/>
      <c r="R312" s="302"/>
      <c r="S312" s="302"/>
      <c r="T312" s="302"/>
      <c r="U312" s="302"/>
      <c r="V312" s="302"/>
      <c r="W312" s="302"/>
      <c r="X312" s="302"/>
      <c r="Y312" s="302"/>
      <c r="Z312" s="302"/>
      <c r="AA312" s="302"/>
      <c r="AB312" s="302"/>
      <c r="AC312" s="302"/>
      <c r="AD312" s="302"/>
      <c r="AE312" s="302"/>
      <c r="AF312" s="391">
        <v>0</v>
      </c>
      <c r="AG312" s="392">
        <v>0</v>
      </c>
      <c r="AH312" s="392">
        <v>5065</v>
      </c>
      <c r="AI312" s="392">
        <v>5690</v>
      </c>
      <c r="AJ312" s="392">
        <v>6125</v>
      </c>
      <c r="AK312" s="392">
        <v>6900</v>
      </c>
      <c r="AL312" s="392">
        <v>8518</v>
      </c>
      <c r="AM312" s="392">
        <v>10500</v>
      </c>
      <c r="AN312" s="392">
        <v>10715</v>
      </c>
      <c r="AO312" s="393">
        <v>11715</v>
      </c>
      <c r="AP312" s="391">
        <f t="shared" si="169"/>
        <v>0</v>
      </c>
      <c r="AQ312" s="392">
        <f t="shared" si="170"/>
        <v>0</v>
      </c>
      <c r="AR312" s="392">
        <f t="shared" si="171"/>
        <v>0</v>
      </c>
      <c r="AS312" s="392">
        <f t="shared" si="172"/>
        <v>0</v>
      </c>
      <c r="AT312" s="392">
        <f t="shared" si="173"/>
        <v>6125</v>
      </c>
      <c r="AU312" s="392">
        <f t="shared" si="174"/>
        <v>0</v>
      </c>
      <c r="AV312" s="392">
        <f t="shared" si="175"/>
        <v>0</v>
      </c>
      <c r="AW312" s="392">
        <f t="shared" si="176"/>
        <v>0</v>
      </c>
      <c r="AX312" s="392">
        <f t="shared" si="177"/>
        <v>0</v>
      </c>
      <c r="AY312" s="393">
        <f t="shared" si="178"/>
        <v>0</v>
      </c>
      <c r="AZ312" s="302"/>
      <c r="BA312" s="302"/>
      <c r="BB312" s="302"/>
      <c r="BC312" s="302"/>
      <c r="BD312" s="302"/>
      <c r="BE312" s="302"/>
      <c r="BF312" s="302"/>
      <c r="BG312" s="302"/>
      <c r="BH312" s="302"/>
      <c r="BI312" s="302"/>
      <c r="BJ312" s="302"/>
      <c r="BK312" s="302"/>
      <c r="BL312" s="302"/>
      <c r="BM312" s="302"/>
      <c r="BN312" s="302"/>
      <c r="BO312" s="302"/>
      <c r="BP312" s="302"/>
      <c r="BQ312" s="302"/>
      <c r="BR312" s="302"/>
      <c r="BS312" s="302"/>
      <c r="BT312" s="302"/>
      <c r="BU312" s="302"/>
    </row>
    <row r="313" spans="1:73">
      <c r="A313" s="325"/>
      <c r="B313" s="394"/>
      <c r="C313" s="394" t="s">
        <v>385</v>
      </c>
      <c r="D313" s="326">
        <v>117.059</v>
      </c>
      <c r="E313" s="326">
        <v>111.723</v>
      </c>
      <c r="F313" s="395">
        <f t="shared" si="165"/>
        <v>5.5</v>
      </c>
      <c r="G313" s="394">
        <v>1500</v>
      </c>
      <c r="H313" s="396">
        <f t="shared" si="166"/>
        <v>6325</v>
      </c>
      <c r="I313" s="396">
        <v>1680</v>
      </c>
      <c r="J313" s="397"/>
      <c r="K313" s="398"/>
      <c r="L313" s="399">
        <f t="shared" si="167"/>
        <v>9.7232142857142847</v>
      </c>
      <c r="M313" s="400">
        <f t="shared" si="168"/>
        <v>3.5357142857142856</v>
      </c>
      <c r="N313" s="302"/>
      <c r="O313" s="302"/>
      <c r="P313" s="302"/>
      <c r="Q313" s="302"/>
      <c r="R313" s="302"/>
      <c r="S313" s="302"/>
      <c r="T313" s="302"/>
      <c r="U313" s="302"/>
      <c r="V313" s="302"/>
      <c r="W313" s="302"/>
      <c r="X313" s="302"/>
      <c r="Y313" s="302"/>
      <c r="Z313" s="302"/>
      <c r="AA313" s="302"/>
      <c r="AB313" s="302"/>
      <c r="AC313" s="302"/>
      <c r="AD313" s="302"/>
      <c r="AE313" s="302"/>
      <c r="AF313" s="391">
        <v>0</v>
      </c>
      <c r="AG313" s="392">
        <v>0</v>
      </c>
      <c r="AH313" s="392">
        <v>5235</v>
      </c>
      <c r="AI313" s="392">
        <v>6176</v>
      </c>
      <c r="AJ313" s="392">
        <v>6325</v>
      </c>
      <c r="AK313" s="392">
        <v>7190</v>
      </c>
      <c r="AL313" s="392">
        <v>8876</v>
      </c>
      <c r="AM313" s="392">
        <v>10941.300774829773</v>
      </c>
      <c r="AN313" s="392">
        <v>11365</v>
      </c>
      <c r="AO313" s="393">
        <v>12365</v>
      </c>
      <c r="AP313" s="391">
        <f t="shared" si="169"/>
        <v>0</v>
      </c>
      <c r="AQ313" s="392">
        <f t="shared" si="170"/>
        <v>0</v>
      </c>
      <c r="AR313" s="392">
        <f t="shared" si="171"/>
        <v>0</v>
      </c>
      <c r="AS313" s="392">
        <f t="shared" si="172"/>
        <v>0</v>
      </c>
      <c r="AT313" s="392">
        <f t="shared" si="173"/>
        <v>6325</v>
      </c>
      <c r="AU313" s="392">
        <f t="shared" si="174"/>
        <v>0</v>
      </c>
      <c r="AV313" s="392">
        <f t="shared" si="175"/>
        <v>0</v>
      </c>
      <c r="AW313" s="392">
        <f t="shared" si="176"/>
        <v>0</v>
      </c>
      <c r="AX313" s="392">
        <f t="shared" si="177"/>
        <v>0</v>
      </c>
      <c r="AY313" s="393">
        <f t="shared" si="178"/>
        <v>0</v>
      </c>
      <c r="AZ313" s="302"/>
      <c r="BA313" s="302"/>
      <c r="BB313" s="302"/>
      <c r="BC313" s="302"/>
      <c r="BD313" s="302"/>
      <c r="BE313" s="302"/>
      <c r="BF313" s="302"/>
      <c r="BG313" s="302"/>
      <c r="BH313" s="302"/>
      <c r="BI313" s="302"/>
      <c r="BJ313" s="302"/>
      <c r="BK313" s="302"/>
      <c r="BL313" s="302"/>
      <c r="BM313" s="302"/>
      <c r="BN313" s="302"/>
      <c r="BO313" s="302"/>
      <c r="BP313" s="302"/>
      <c r="BQ313" s="302"/>
      <c r="BR313" s="302"/>
      <c r="BS313" s="302"/>
      <c r="BT313" s="302"/>
      <c r="BU313" s="302"/>
    </row>
    <row r="314" spans="1:73">
      <c r="A314" s="325"/>
      <c r="B314" s="394"/>
      <c r="C314" s="394" t="s">
        <v>386</v>
      </c>
      <c r="D314" s="326">
        <v>118</v>
      </c>
      <c r="E314" s="326">
        <v>111.489</v>
      </c>
      <c r="F314" s="395">
        <f t="shared" si="165"/>
        <v>6.75</v>
      </c>
      <c r="G314" s="394">
        <v>1500</v>
      </c>
      <c r="H314" s="396">
        <f t="shared" si="166"/>
        <v>7225</v>
      </c>
      <c r="I314" s="396">
        <v>1680</v>
      </c>
      <c r="J314" s="397"/>
      <c r="K314" s="398"/>
      <c r="L314" s="399">
        <f t="shared" si="167"/>
        <v>11.933035714285714</v>
      </c>
      <c r="M314" s="400">
        <f t="shared" si="168"/>
        <v>3.5357142857142856</v>
      </c>
      <c r="N314" s="302"/>
      <c r="O314" s="302"/>
      <c r="P314" s="302"/>
      <c r="Q314" s="302"/>
      <c r="R314" s="302"/>
      <c r="S314" s="302"/>
      <c r="T314" s="302"/>
      <c r="U314" s="302"/>
      <c r="V314" s="302"/>
      <c r="W314" s="302"/>
      <c r="X314" s="302"/>
      <c r="Y314" s="302"/>
      <c r="Z314" s="302"/>
      <c r="AA314" s="302"/>
      <c r="AB314" s="302"/>
      <c r="AC314" s="302"/>
      <c r="AD314" s="302"/>
      <c r="AE314" s="302"/>
      <c r="AF314" s="391">
        <v>0</v>
      </c>
      <c r="AG314" s="392">
        <v>0</v>
      </c>
      <c r="AH314" s="392">
        <v>0</v>
      </c>
      <c r="AI314" s="392">
        <v>0</v>
      </c>
      <c r="AJ314" s="392">
        <v>7225</v>
      </c>
      <c r="AK314" s="392">
        <v>8640</v>
      </c>
      <c r="AL314" s="392">
        <v>10666</v>
      </c>
      <c r="AM314" s="392">
        <v>13147.804648978634</v>
      </c>
      <c r="AN314" s="392">
        <v>14615</v>
      </c>
      <c r="AO314" s="393">
        <v>0</v>
      </c>
      <c r="AP314" s="391">
        <f t="shared" si="169"/>
        <v>0</v>
      </c>
      <c r="AQ314" s="392">
        <f t="shared" si="170"/>
        <v>0</v>
      </c>
      <c r="AR314" s="392">
        <f t="shared" si="171"/>
        <v>0</v>
      </c>
      <c r="AS314" s="392">
        <f t="shared" si="172"/>
        <v>0</v>
      </c>
      <c r="AT314" s="392">
        <f t="shared" si="173"/>
        <v>7225</v>
      </c>
      <c r="AU314" s="392">
        <f t="shared" si="174"/>
        <v>0</v>
      </c>
      <c r="AV314" s="392">
        <f t="shared" si="175"/>
        <v>0</v>
      </c>
      <c r="AW314" s="392">
        <f t="shared" si="176"/>
        <v>0</v>
      </c>
      <c r="AX314" s="392">
        <f t="shared" si="177"/>
        <v>0</v>
      </c>
      <c r="AY314" s="393">
        <f t="shared" si="178"/>
        <v>0</v>
      </c>
      <c r="AZ314" s="302"/>
      <c r="BA314" s="302"/>
      <c r="BB314" s="302"/>
      <c r="BC314" s="302"/>
      <c r="BD314" s="302"/>
      <c r="BE314" s="302"/>
      <c r="BF314" s="302"/>
      <c r="BG314" s="302"/>
      <c r="BH314" s="302"/>
      <c r="BI314" s="302"/>
      <c r="BJ314" s="302"/>
      <c r="BK314" s="302"/>
      <c r="BL314" s="302"/>
      <c r="BM314" s="302"/>
      <c r="BN314" s="302"/>
      <c r="BO314" s="302"/>
      <c r="BP314" s="302"/>
      <c r="BQ314" s="302"/>
      <c r="BR314" s="302"/>
      <c r="BS314" s="302"/>
      <c r="BT314" s="302"/>
      <c r="BU314" s="302"/>
    </row>
    <row r="315" spans="1:73">
      <c r="A315" s="325"/>
      <c r="B315" s="394"/>
      <c r="C315" s="394" t="s">
        <v>387</v>
      </c>
      <c r="D315" s="326">
        <v>118</v>
      </c>
      <c r="E315" s="326">
        <v>111.339</v>
      </c>
      <c r="F315" s="395">
        <f t="shared" si="165"/>
        <v>6.75</v>
      </c>
      <c r="G315" s="394">
        <v>1500</v>
      </c>
      <c r="H315" s="396">
        <f t="shared" si="166"/>
        <v>7225</v>
      </c>
      <c r="I315" s="396">
        <v>1680</v>
      </c>
      <c r="J315" s="397"/>
      <c r="K315" s="398"/>
      <c r="L315" s="399">
        <f t="shared" si="167"/>
        <v>11.933035714285714</v>
      </c>
      <c r="M315" s="400">
        <f t="shared" si="168"/>
        <v>3.5357142857142856</v>
      </c>
      <c r="N315" s="302"/>
      <c r="O315" s="302"/>
      <c r="P315" s="302"/>
      <c r="Q315" s="302"/>
      <c r="R315" s="302"/>
      <c r="S315" s="302"/>
      <c r="T315" s="302"/>
      <c r="U315" s="302"/>
      <c r="V315" s="302"/>
      <c r="W315" s="302"/>
      <c r="X315" s="302"/>
      <c r="Y315" s="302"/>
      <c r="Z315" s="302"/>
      <c r="AA315" s="302"/>
      <c r="AB315" s="302"/>
      <c r="AC315" s="302"/>
      <c r="AD315" s="302"/>
      <c r="AE315" s="302"/>
      <c r="AF315" s="391">
        <v>0</v>
      </c>
      <c r="AG315" s="392">
        <v>0</v>
      </c>
      <c r="AH315" s="392">
        <v>0</v>
      </c>
      <c r="AI315" s="392">
        <v>0</v>
      </c>
      <c r="AJ315" s="392">
        <v>7225</v>
      </c>
      <c r="AK315" s="392">
        <v>8640</v>
      </c>
      <c r="AL315" s="392">
        <v>10666</v>
      </c>
      <c r="AM315" s="392">
        <v>13147.804648978634</v>
      </c>
      <c r="AN315" s="392">
        <v>14615</v>
      </c>
      <c r="AO315" s="393">
        <v>0</v>
      </c>
      <c r="AP315" s="391">
        <f t="shared" si="169"/>
        <v>0</v>
      </c>
      <c r="AQ315" s="392">
        <f t="shared" si="170"/>
        <v>0</v>
      </c>
      <c r="AR315" s="392">
        <f t="shared" si="171"/>
        <v>0</v>
      </c>
      <c r="AS315" s="392">
        <f t="shared" si="172"/>
        <v>0</v>
      </c>
      <c r="AT315" s="392">
        <f t="shared" si="173"/>
        <v>7225</v>
      </c>
      <c r="AU315" s="392">
        <f t="shared" si="174"/>
        <v>0</v>
      </c>
      <c r="AV315" s="392">
        <f t="shared" si="175"/>
        <v>0</v>
      </c>
      <c r="AW315" s="392">
        <f t="shared" si="176"/>
        <v>0</v>
      </c>
      <c r="AX315" s="392">
        <f t="shared" si="177"/>
        <v>0</v>
      </c>
      <c r="AY315" s="393">
        <f t="shared" si="178"/>
        <v>0</v>
      </c>
      <c r="AZ315" s="302"/>
      <c r="BA315" s="302"/>
      <c r="BB315" s="302"/>
      <c r="BC315" s="302"/>
      <c r="BD315" s="302"/>
      <c r="BE315" s="302"/>
      <c r="BF315" s="302"/>
      <c r="BG315" s="302"/>
      <c r="BH315" s="302"/>
      <c r="BI315" s="302"/>
      <c r="BJ315" s="302"/>
      <c r="BK315" s="302"/>
      <c r="BL315" s="302"/>
      <c r="BM315" s="302"/>
      <c r="BN315" s="302"/>
      <c r="BO315" s="302"/>
      <c r="BP315" s="302"/>
      <c r="BQ315" s="302"/>
      <c r="BR315" s="302"/>
      <c r="BS315" s="302"/>
      <c r="BT315" s="302"/>
      <c r="BU315" s="302"/>
    </row>
    <row r="316" spans="1:73">
      <c r="A316" s="325"/>
      <c r="B316" s="394"/>
      <c r="C316" s="394" t="s">
        <v>388</v>
      </c>
      <c r="D316" s="326">
        <v>114.75</v>
      </c>
      <c r="E316" s="326">
        <v>111.16500000000001</v>
      </c>
      <c r="F316" s="395">
        <f t="shared" si="165"/>
        <v>3.75</v>
      </c>
      <c r="G316" s="394">
        <v>1350</v>
      </c>
      <c r="H316" s="396">
        <f t="shared" si="166"/>
        <v>2690</v>
      </c>
      <c r="I316" s="396">
        <v>1680</v>
      </c>
      <c r="J316" s="397"/>
      <c r="K316" s="398"/>
      <c r="L316" s="399">
        <f t="shared" si="167"/>
        <v>5.3698660714285715</v>
      </c>
      <c r="M316" s="400">
        <f t="shared" si="168"/>
        <v>3.5357142857142856</v>
      </c>
      <c r="N316" s="302" t="s">
        <v>402</v>
      </c>
      <c r="O316" s="302"/>
      <c r="P316" s="302"/>
      <c r="Q316" s="302"/>
      <c r="R316" s="302"/>
      <c r="S316" s="302"/>
      <c r="T316" s="302"/>
      <c r="U316" s="302"/>
      <c r="V316" s="302"/>
      <c r="W316" s="302"/>
      <c r="X316" s="302"/>
      <c r="Y316" s="302"/>
      <c r="Z316" s="302"/>
      <c r="AA316" s="302"/>
      <c r="AB316" s="302"/>
      <c r="AC316" s="302"/>
      <c r="AD316" s="302"/>
      <c r="AE316" s="302"/>
      <c r="AF316" s="391">
        <v>0</v>
      </c>
      <c r="AG316" s="392">
        <v>0</v>
      </c>
      <c r="AH316" s="392">
        <v>2485</v>
      </c>
      <c r="AI316" s="392">
        <v>2690</v>
      </c>
      <c r="AJ316" s="392">
        <v>3505</v>
      </c>
      <c r="AK316" s="392">
        <v>4335</v>
      </c>
      <c r="AL316" s="392">
        <v>5276</v>
      </c>
      <c r="AM316" s="392">
        <v>6700</v>
      </c>
      <c r="AN316" s="392">
        <v>8015</v>
      </c>
      <c r="AO316" s="393">
        <v>8745</v>
      </c>
      <c r="AP316" s="391">
        <f t="shared" si="169"/>
        <v>0</v>
      </c>
      <c r="AQ316" s="392">
        <f t="shared" si="170"/>
        <v>0</v>
      </c>
      <c r="AR316" s="392">
        <f t="shared" si="171"/>
        <v>0</v>
      </c>
      <c r="AS316" s="392">
        <f t="shared" si="172"/>
        <v>2690</v>
      </c>
      <c r="AT316" s="392">
        <f t="shared" si="173"/>
        <v>0</v>
      </c>
      <c r="AU316" s="392">
        <f t="shared" si="174"/>
        <v>0</v>
      </c>
      <c r="AV316" s="392">
        <f t="shared" si="175"/>
        <v>0</v>
      </c>
      <c r="AW316" s="392">
        <f t="shared" si="176"/>
        <v>0</v>
      </c>
      <c r="AX316" s="392">
        <f t="shared" si="177"/>
        <v>0</v>
      </c>
      <c r="AY316" s="393">
        <f t="shared" si="178"/>
        <v>0</v>
      </c>
      <c r="AZ316" s="302"/>
      <c r="BA316" s="302"/>
      <c r="BB316" s="302"/>
      <c r="BC316" s="302"/>
      <c r="BD316" s="302"/>
      <c r="BE316" s="302"/>
      <c r="BF316" s="302"/>
      <c r="BG316" s="302"/>
      <c r="BH316" s="302"/>
      <c r="BI316" s="302"/>
      <c r="BJ316" s="302"/>
      <c r="BK316" s="302"/>
      <c r="BL316" s="302"/>
      <c r="BM316" s="302"/>
      <c r="BN316" s="302"/>
      <c r="BO316" s="302"/>
      <c r="BP316" s="302"/>
      <c r="BQ316" s="302"/>
      <c r="BR316" s="302"/>
      <c r="BS316" s="302"/>
      <c r="BT316" s="302"/>
      <c r="BU316" s="302"/>
    </row>
    <row r="317" spans="1:73">
      <c r="A317" s="325"/>
      <c r="B317" s="394"/>
      <c r="C317" s="394" t="s">
        <v>403</v>
      </c>
      <c r="D317" s="326"/>
      <c r="E317" s="326"/>
      <c r="F317" s="395">
        <f t="shared" si="165"/>
        <v>0</v>
      </c>
      <c r="G317" s="394"/>
      <c r="H317" s="396">
        <f t="shared" si="166"/>
        <v>0</v>
      </c>
      <c r="I317" s="396">
        <v>0</v>
      </c>
      <c r="J317" s="397"/>
      <c r="K317" s="398"/>
      <c r="L317" s="399">
        <f t="shared" si="167"/>
        <v>0</v>
      </c>
      <c r="M317" s="400">
        <f t="shared" si="168"/>
        <v>0</v>
      </c>
      <c r="N317" s="302"/>
      <c r="O317" s="302"/>
      <c r="P317" s="302"/>
      <c r="Q317" s="302"/>
      <c r="R317" s="302"/>
      <c r="S317" s="302"/>
      <c r="T317" s="302"/>
      <c r="U317" s="302"/>
      <c r="V317" s="302"/>
      <c r="W317" s="302"/>
      <c r="X317" s="302"/>
      <c r="Y317" s="302"/>
      <c r="Z317" s="302"/>
      <c r="AA317" s="302"/>
      <c r="AB317" s="302"/>
      <c r="AC317" s="302"/>
      <c r="AD317" s="302"/>
      <c r="AE317" s="302"/>
      <c r="AF317" s="391">
        <v>0</v>
      </c>
      <c r="AG317" s="392">
        <v>0</v>
      </c>
      <c r="AH317" s="392">
        <v>0</v>
      </c>
      <c r="AI317" s="392">
        <v>0</v>
      </c>
      <c r="AJ317" s="392">
        <v>0</v>
      </c>
      <c r="AK317" s="392">
        <v>0</v>
      </c>
      <c r="AL317" s="392">
        <v>0</v>
      </c>
      <c r="AM317" s="392">
        <v>0</v>
      </c>
      <c r="AN317" s="392">
        <v>0</v>
      </c>
      <c r="AO317" s="393">
        <v>0</v>
      </c>
      <c r="AP317" s="391">
        <f t="shared" si="169"/>
        <v>0</v>
      </c>
      <c r="AQ317" s="392">
        <f t="shared" si="170"/>
        <v>0</v>
      </c>
      <c r="AR317" s="392">
        <f t="shared" si="171"/>
        <v>0</v>
      </c>
      <c r="AS317" s="392">
        <f t="shared" si="172"/>
        <v>0</v>
      </c>
      <c r="AT317" s="392">
        <f t="shared" si="173"/>
        <v>0</v>
      </c>
      <c r="AU317" s="392">
        <f t="shared" si="174"/>
        <v>0</v>
      </c>
      <c r="AV317" s="392">
        <f t="shared" si="175"/>
        <v>0</v>
      </c>
      <c r="AW317" s="392">
        <f t="shared" si="176"/>
        <v>0</v>
      </c>
      <c r="AX317" s="392">
        <f t="shared" si="177"/>
        <v>0</v>
      </c>
      <c r="AY317" s="393">
        <f t="shared" si="178"/>
        <v>0</v>
      </c>
      <c r="AZ317" s="302"/>
      <c r="BA317" s="302"/>
      <c r="BB317" s="302"/>
      <c r="BC317" s="302"/>
      <c r="BD317" s="302"/>
      <c r="BE317" s="302"/>
      <c r="BF317" s="302"/>
      <c r="BG317" s="302"/>
      <c r="BH317" s="302"/>
      <c r="BI317" s="302"/>
      <c r="BJ317" s="302"/>
      <c r="BK317" s="302"/>
      <c r="BL317" s="302"/>
      <c r="BM317" s="302"/>
      <c r="BN317" s="302"/>
      <c r="BO317" s="302"/>
      <c r="BP317" s="302"/>
      <c r="BQ317" s="302"/>
      <c r="BR317" s="302"/>
      <c r="BS317" s="302"/>
      <c r="BT317" s="302"/>
      <c r="BU317" s="302"/>
    </row>
    <row r="318" spans="1:73">
      <c r="A318" s="325"/>
      <c r="B318" s="394"/>
      <c r="C318" s="394" t="s">
        <v>389</v>
      </c>
      <c r="D318" s="326">
        <v>116.15600000000001</v>
      </c>
      <c r="E318" s="326">
        <v>114.456</v>
      </c>
      <c r="F318" s="395">
        <f t="shared" si="165"/>
        <v>1.75</v>
      </c>
      <c r="G318" s="394">
        <v>1200</v>
      </c>
      <c r="H318" s="396">
        <f t="shared" si="166"/>
        <v>1680</v>
      </c>
      <c r="I318" s="396">
        <v>1680</v>
      </c>
      <c r="J318" s="397"/>
      <c r="K318" s="398"/>
      <c r="L318" s="399">
        <f t="shared" si="167"/>
        <v>1.98</v>
      </c>
      <c r="M318" s="400">
        <f t="shared" si="168"/>
        <v>3.5357142857142856</v>
      </c>
      <c r="N318" s="302"/>
      <c r="O318" s="302"/>
      <c r="P318" s="302"/>
      <c r="Q318" s="302"/>
      <c r="R318" s="302"/>
      <c r="S318" s="302"/>
      <c r="T318" s="302"/>
      <c r="U318" s="302"/>
      <c r="V318" s="302"/>
      <c r="W318" s="302"/>
      <c r="X318" s="302"/>
      <c r="Y318" s="302"/>
      <c r="Z318" s="302"/>
      <c r="AA318" s="302"/>
      <c r="AB318" s="302"/>
      <c r="AC318" s="302"/>
      <c r="AD318" s="302"/>
      <c r="AE318" s="302"/>
      <c r="AF318" s="391">
        <v>0</v>
      </c>
      <c r="AG318" s="392">
        <v>0</v>
      </c>
      <c r="AH318" s="392">
        <v>1460</v>
      </c>
      <c r="AI318" s="392">
        <v>1950</v>
      </c>
      <c r="AJ318" s="392">
        <v>2375</v>
      </c>
      <c r="AK318" s="392">
        <v>2628</v>
      </c>
      <c r="AL318" s="392">
        <v>3198</v>
      </c>
      <c r="AM318" s="392">
        <v>4490</v>
      </c>
      <c r="AN318" s="392">
        <v>4815</v>
      </c>
      <c r="AO318" s="393">
        <v>6468</v>
      </c>
      <c r="AP318" s="391">
        <f t="shared" si="169"/>
        <v>0</v>
      </c>
      <c r="AQ318" s="392">
        <f t="shared" si="170"/>
        <v>0</v>
      </c>
      <c r="AR318" s="392">
        <f t="shared" si="171"/>
        <v>1460</v>
      </c>
      <c r="AS318" s="392">
        <f t="shared" si="172"/>
        <v>0</v>
      </c>
      <c r="AT318" s="392">
        <f t="shared" si="173"/>
        <v>0</v>
      </c>
      <c r="AU318" s="392">
        <f t="shared" si="174"/>
        <v>0</v>
      </c>
      <c r="AV318" s="392">
        <f t="shared" si="175"/>
        <v>0</v>
      </c>
      <c r="AW318" s="392">
        <f t="shared" si="176"/>
        <v>0</v>
      </c>
      <c r="AX318" s="392">
        <f t="shared" si="177"/>
        <v>0</v>
      </c>
      <c r="AY318" s="393">
        <f t="shared" si="178"/>
        <v>0</v>
      </c>
      <c r="AZ318" s="302"/>
      <c r="BA318" s="302"/>
      <c r="BB318" s="302"/>
      <c r="BC318" s="302"/>
      <c r="BD318" s="302"/>
      <c r="BE318" s="302"/>
      <c r="BF318" s="302"/>
      <c r="BG318" s="302"/>
      <c r="BH318" s="302"/>
      <c r="BI318" s="302"/>
      <c r="BJ318" s="302"/>
      <c r="BK318" s="302"/>
      <c r="BL318" s="302"/>
      <c r="BM318" s="302"/>
      <c r="BN318" s="302"/>
      <c r="BO318" s="302"/>
      <c r="BP318" s="302"/>
      <c r="BQ318" s="302"/>
      <c r="BR318" s="302"/>
      <c r="BS318" s="302"/>
      <c r="BT318" s="302"/>
      <c r="BU318" s="302"/>
    </row>
    <row r="319" spans="1:73">
      <c r="A319" s="325"/>
      <c r="B319" s="394"/>
      <c r="C319" s="394" t="s">
        <v>390</v>
      </c>
      <c r="D319" s="326">
        <v>115.557</v>
      </c>
      <c r="E319" s="326">
        <v>113.392</v>
      </c>
      <c r="F319" s="395">
        <f t="shared" si="165"/>
        <v>2.25</v>
      </c>
      <c r="G319" s="394">
        <v>1200</v>
      </c>
      <c r="H319" s="396">
        <f t="shared" si="166"/>
        <v>1770</v>
      </c>
      <c r="I319" s="396">
        <v>1680</v>
      </c>
      <c r="J319" s="397"/>
      <c r="K319" s="398"/>
      <c r="L319" s="399">
        <f t="shared" si="167"/>
        <v>2.5457142857142858</v>
      </c>
      <c r="M319" s="400">
        <f t="shared" si="168"/>
        <v>3.5357142857142856</v>
      </c>
      <c r="N319" s="302"/>
      <c r="O319" s="302"/>
      <c r="P319" s="302"/>
      <c r="Q319" s="302"/>
      <c r="R319" s="302"/>
      <c r="S319" s="302"/>
      <c r="T319" s="302"/>
      <c r="U319" s="302"/>
      <c r="V319" s="302"/>
      <c r="W319" s="302"/>
      <c r="X319" s="302"/>
      <c r="Y319" s="302"/>
      <c r="Z319" s="302"/>
      <c r="AA319" s="302"/>
      <c r="AB319" s="302"/>
      <c r="AC319" s="302"/>
      <c r="AD319" s="302"/>
      <c r="AE319" s="302"/>
      <c r="AF319" s="391">
        <v>0</v>
      </c>
      <c r="AG319" s="392">
        <v>0</v>
      </c>
      <c r="AH319" s="392">
        <v>1770</v>
      </c>
      <c r="AI319" s="392">
        <v>2065</v>
      </c>
      <c r="AJ319" s="392">
        <v>2580</v>
      </c>
      <c r="AK319" s="392">
        <v>2828</v>
      </c>
      <c r="AL319" s="392">
        <v>3442</v>
      </c>
      <c r="AM319" s="392">
        <v>4833</v>
      </c>
      <c r="AN319" s="392">
        <v>5415</v>
      </c>
      <c r="AO319" s="393">
        <v>7273</v>
      </c>
      <c r="AP319" s="391">
        <f t="shared" si="169"/>
        <v>0</v>
      </c>
      <c r="AQ319" s="392">
        <f t="shared" si="170"/>
        <v>0</v>
      </c>
      <c r="AR319" s="392">
        <f t="shared" si="171"/>
        <v>1770</v>
      </c>
      <c r="AS319" s="392">
        <f t="shared" si="172"/>
        <v>0</v>
      </c>
      <c r="AT319" s="392">
        <f t="shared" si="173"/>
        <v>0</v>
      </c>
      <c r="AU319" s="392">
        <f t="shared" si="174"/>
        <v>0</v>
      </c>
      <c r="AV319" s="392">
        <f t="shared" si="175"/>
        <v>0</v>
      </c>
      <c r="AW319" s="392">
        <f t="shared" si="176"/>
        <v>0</v>
      </c>
      <c r="AX319" s="392">
        <f t="shared" si="177"/>
        <v>0</v>
      </c>
      <c r="AY319" s="393">
        <f t="shared" si="178"/>
        <v>0</v>
      </c>
      <c r="AZ319" s="302"/>
      <c r="BA319" s="302"/>
      <c r="BB319" s="302"/>
      <c r="BC319" s="302"/>
      <c r="BD319" s="302"/>
      <c r="BE319" s="302"/>
      <c r="BF319" s="302"/>
      <c r="BG319" s="302"/>
      <c r="BH319" s="302"/>
      <c r="BI319" s="302"/>
      <c r="BJ319" s="302"/>
      <c r="BK319" s="302"/>
      <c r="BL319" s="302"/>
      <c r="BM319" s="302"/>
      <c r="BN319" s="302"/>
      <c r="BO319" s="302"/>
      <c r="BP319" s="302"/>
      <c r="BQ319" s="302"/>
      <c r="BR319" s="302"/>
      <c r="BS319" s="302"/>
      <c r="BT319" s="302"/>
      <c r="BU319" s="302"/>
    </row>
    <row r="320" spans="1:73">
      <c r="A320" s="325"/>
      <c r="B320" s="394"/>
      <c r="C320" s="394" t="s">
        <v>391</v>
      </c>
      <c r="D320" s="326">
        <v>114.485</v>
      </c>
      <c r="E320" s="326">
        <v>112.164</v>
      </c>
      <c r="F320" s="395">
        <f t="shared" si="165"/>
        <v>2.5</v>
      </c>
      <c r="G320" s="394">
        <v>1200</v>
      </c>
      <c r="H320" s="396">
        <f t="shared" si="166"/>
        <v>1855</v>
      </c>
      <c r="I320" s="396">
        <v>1680</v>
      </c>
      <c r="J320" s="397"/>
      <c r="K320" s="398"/>
      <c r="L320" s="399">
        <f t="shared" si="167"/>
        <v>2.8285714285714287</v>
      </c>
      <c r="M320" s="400">
        <f t="shared" si="168"/>
        <v>3.5357142857142856</v>
      </c>
      <c r="N320" s="302"/>
      <c r="O320" s="302"/>
      <c r="P320" s="302"/>
      <c r="Q320" s="302"/>
      <c r="R320" s="302"/>
      <c r="S320" s="302"/>
      <c r="T320" s="302"/>
      <c r="U320" s="302"/>
      <c r="V320" s="302"/>
      <c r="W320" s="302"/>
      <c r="X320" s="302"/>
      <c r="Y320" s="302"/>
      <c r="Z320" s="302"/>
      <c r="AA320" s="302"/>
      <c r="AB320" s="302"/>
      <c r="AC320" s="302"/>
      <c r="AD320" s="302"/>
      <c r="AE320" s="302"/>
      <c r="AF320" s="391">
        <v>0</v>
      </c>
      <c r="AG320" s="392">
        <v>0</v>
      </c>
      <c r="AH320" s="392">
        <v>1855</v>
      </c>
      <c r="AI320" s="392">
        <v>2165</v>
      </c>
      <c r="AJ320" s="392">
        <v>2615</v>
      </c>
      <c r="AK320" s="392">
        <v>3070</v>
      </c>
      <c r="AL320" s="392">
        <v>3736</v>
      </c>
      <c r="AM320" s="392">
        <v>5245</v>
      </c>
      <c r="AN320" s="392">
        <v>5680</v>
      </c>
      <c r="AO320" s="393">
        <v>7629</v>
      </c>
      <c r="AP320" s="391">
        <f t="shared" si="169"/>
        <v>0</v>
      </c>
      <c r="AQ320" s="392">
        <f t="shared" si="170"/>
        <v>0</v>
      </c>
      <c r="AR320" s="392">
        <f t="shared" si="171"/>
        <v>1855</v>
      </c>
      <c r="AS320" s="392">
        <f t="shared" si="172"/>
        <v>0</v>
      </c>
      <c r="AT320" s="392">
        <f t="shared" si="173"/>
        <v>0</v>
      </c>
      <c r="AU320" s="392">
        <f t="shared" si="174"/>
        <v>0</v>
      </c>
      <c r="AV320" s="392">
        <f t="shared" si="175"/>
        <v>0</v>
      </c>
      <c r="AW320" s="392">
        <f t="shared" si="176"/>
        <v>0</v>
      </c>
      <c r="AX320" s="392">
        <f t="shared" si="177"/>
        <v>0</v>
      </c>
      <c r="AY320" s="393">
        <f t="shared" si="178"/>
        <v>0</v>
      </c>
      <c r="AZ320" s="302"/>
      <c r="BA320" s="302"/>
      <c r="BB320" s="302"/>
      <c r="BC320" s="302"/>
      <c r="BD320" s="302"/>
      <c r="BE320" s="302"/>
      <c r="BF320" s="302"/>
      <c r="BG320" s="302"/>
      <c r="BH320" s="302"/>
      <c r="BI320" s="302"/>
      <c r="BJ320" s="302"/>
      <c r="BK320" s="302"/>
      <c r="BL320" s="302"/>
      <c r="BM320" s="302"/>
      <c r="BN320" s="302"/>
      <c r="BO320" s="302"/>
      <c r="BP320" s="302"/>
      <c r="BQ320" s="302"/>
      <c r="BR320" s="302"/>
      <c r="BS320" s="302"/>
      <c r="BT320" s="302"/>
      <c r="BU320" s="302"/>
    </row>
    <row r="321" spans="1:73">
      <c r="A321" s="325"/>
      <c r="B321" s="394"/>
      <c r="C321" s="394" t="s">
        <v>392</v>
      </c>
      <c r="D321" s="326">
        <v>113.4</v>
      </c>
      <c r="E321" s="326">
        <v>109</v>
      </c>
      <c r="F321" s="395">
        <f t="shared" si="165"/>
        <v>4.5</v>
      </c>
      <c r="G321" s="394">
        <v>1500</v>
      </c>
      <c r="H321" s="396">
        <f t="shared" si="166"/>
        <v>5544</v>
      </c>
      <c r="I321" s="396">
        <v>1680</v>
      </c>
      <c r="J321" s="397"/>
      <c r="K321" s="398"/>
      <c r="L321" s="399">
        <f t="shared" si="167"/>
        <v>7.9553571428571423</v>
      </c>
      <c r="M321" s="400">
        <f t="shared" si="168"/>
        <v>3.5357142857142856</v>
      </c>
      <c r="N321" s="302"/>
      <c r="O321" s="302"/>
      <c r="P321" s="302"/>
      <c r="Q321" s="302"/>
      <c r="R321" s="302"/>
      <c r="S321" s="302"/>
      <c r="T321" s="302"/>
      <c r="U321" s="302"/>
      <c r="V321" s="302"/>
      <c r="W321" s="302"/>
      <c r="X321" s="302"/>
      <c r="Y321" s="302"/>
      <c r="Z321" s="302"/>
      <c r="AA321" s="302"/>
      <c r="AB321" s="302"/>
      <c r="AC321" s="302"/>
      <c r="AD321" s="302"/>
      <c r="AE321" s="302"/>
      <c r="AF321" s="391">
        <v>0</v>
      </c>
      <c r="AG321" s="392">
        <v>0</v>
      </c>
      <c r="AH321" s="392">
        <v>4380</v>
      </c>
      <c r="AI321" s="392">
        <v>4773</v>
      </c>
      <c r="AJ321" s="392">
        <v>5544</v>
      </c>
      <c r="AK321" s="392">
        <v>6030</v>
      </c>
      <c r="AL321" s="392">
        <v>7340</v>
      </c>
      <c r="AM321" s="392">
        <v>8680</v>
      </c>
      <c r="AN321" s="392">
        <v>8870</v>
      </c>
      <c r="AO321" s="393">
        <v>9270</v>
      </c>
      <c r="AP321" s="391">
        <f t="shared" si="169"/>
        <v>0</v>
      </c>
      <c r="AQ321" s="392">
        <f t="shared" si="170"/>
        <v>0</v>
      </c>
      <c r="AR321" s="392">
        <f t="shared" si="171"/>
        <v>0</v>
      </c>
      <c r="AS321" s="392">
        <f t="shared" si="172"/>
        <v>0</v>
      </c>
      <c r="AT321" s="392">
        <f t="shared" si="173"/>
        <v>5544</v>
      </c>
      <c r="AU321" s="392">
        <f t="shared" si="174"/>
        <v>0</v>
      </c>
      <c r="AV321" s="392">
        <f t="shared" si="175"/>
        <v>0</v>
      </c>
      <c r="AW321" s="392">
        <f t="shared" si="176"/>
        <v>0</v>
      </c>
      <c r="AX321" s="392">
        <f t="shared" si="177"/>
        <v>0</v>
      </c>
      <c r="AY321" s="393">
        <f t="shared" si="178"/>
        <v>0</v>
      </c>
      <c r="AZ321" s="302"/>
      <c r="BA321" s="302"/>
      <c r="BB321" s="302"/>
      <c r="BC321" s="302"/>
      <c r="BD321" s="302"/>
      <c r="BE321" s="302"/>
      <c r="BF321" s="302"/>
      <c r="BG321" s="302"/>
      <c r="BH321" s="302"/>
      <c r="BI321" s="302"/>
      <c r="BJ321" s="302"/>
      <c r="BK321" s="302"/>
      <c r="BL321" s="302"/>
      <c r="BM321" s="302"/>
      <c r="BN321" s="302"/>
      <c r="BO321" s="302"/>
      <c r="BP321" s="302"/>
      <c r="BQ321" s="302"/>
      <c r="BR321" s="302"/>
      <c r="BS321" s="302"/>
      <c r="BT321" s="302"/>
      <c r="BU321" s="302"/>
    </row>
    <row r="322" spans="1:73">
      <c r="A322" s="325"/>
      <c r="B322" s="394"/>
      <c r="C322" s="394" t="s">
        <v>393</v>
      </c>
      <c r="D322" s="326">
        <v>112.7</v>
      </c>
      <c r="E322" s="326">
        <v>107.5</v>
      </c>
      <c r="F322" s="395">
        <f t="shared" si="165"/>
        <v>5.25</v>
      </c>
      <c r="G322" s="394">
        <v>1500</v>
      </c>
      <c r="H322" s="396">
        <f t="shared" si="166"/>
        <v>6125</v>
      </c>
      <c r="I322" s="396">
        <v>1680</v>
      </c>
      <c r="J322" s="397"/>
      <c r="K322" s="398"/>
      <c r="L322" s="399">
        <f t="shared" si="167"/>
        <v>9.28125</v>
      </c>
      <c r="M322" s="400">
        <f t="shared" si="168"/>
        <v>3.5357142857142856</v>
      </c>
      <c r="N322" s="302"/>
      <c r="O322" s="302"/>
      <c r="P322" s="302"/>
      <c r="Q322" s="302"/>
      <c r="R322" s="302"/>
      <c r="S322" s="302"/>
      <c r="T322" s="302"/>
      <c r="U322" s="302"/>
      <c r="V322" s="302"/>
      <c r="W322" s="302"/>
      <c r="X322" s="302"/>
      <c r="Y322" s="302"/>
      <c r="Z322" s="302"/>
      <c r="AA322" s="302"/>
      <c r="AB322" s="302"/>
      <c r="AC322" s="302"/>
      <c r="AD322" s="302"/>
      <c r="AE322" s="302"/>
      <c r="AF322" s="391">
        <v>0</v>
      </c>
      <c r="AG322" s="392">
        <v>0</v>
      </c>
      <c r="AH322" s="392">
        <v>5065</v>
      </c>
      <c r="AI322" s="392">
        <v>5690</v>
      </c>
      <c r="AJ322" s="392">
        <v>6125</v>
      </c>
      <c r="AK322" s="392">
        <v>6900</v>
      </c>
      <c r="AL322" s="392">
        <v>8518</v>
      </c>
      <c r="AM322" s="392">
        <v>10500</v>
      </c>
      <c r="AN322" s="392">
        <v>10715</v>
      </c>
      <c r="AO322" s="393">
        <v>11715</v>
      </c>
      <c r="AP322" s="391">
        <f t="shared" si="169"/>
        <v>0</v>
      </c>
      <c r="AQ322" s="392">
        <f t="shared" si="170"/>
        <v>0</v>
      </c>
      <c r="AR322" s="392">
        <f t="shared" si="171"/>
        <v>0</v>
      </c>
      <c r="AS322" s="392">
        <f t="shared" si="172"/>
        <v>0</v>
      </c>
      <c r="AT322" s="392">
        <f t="shared" si="173"/>
        <v>6125</v>
      </c>
      <c r="AU322" s="392">
        <f t="shared" si="174"/>
        <v>0</v>
      </c>
      <c r="AV322" s="392">
        <f t="shared" si="175"/>
        <v>0</v>
      </c>
      <c r="AW322" s="392">
        <f t="shared" si="176"/>
        <v>0</v>
      </c>
      <c r="AX322" s="392">
        <f t="shared" si="177"/>
        <v>0</v>
      </c>
      <c r="AY322" s="393">
        <f t="shared" si="178"/>
        <v>0</v>
      </c>
      <c r="AZ322" s="302"/>
      <c r="BA322" s="302"/>
      <c r="BB322" s="302"/>
      <c r="BC322" s="302"/>
      <c r="BD322" s="302"/>
      <c r="BE322" s="302"/>
      <c r="BF322" s="302"/>
      <c r="BG322" s="302"/>
      <c r="BH322" s="302"/>
      <c r="BI322" s="302"/>
      <c r="BJ322" s="302"/>
      <c r="BK322" s="302"/>
      <c r="BL322" s="302"/>
      <c r="BM322" s="302"/>
      <c r="BN322" s="302"/>
      <c r="BO322" s="302"/>
      <c r="BP322" s="302"/>
      <c r="BQ322" s="302"/>
      <c r="BR322" s="302"/>
      <c r="BS322" s="302"/>
      <c r="BT322" s="302"/>
      <c r="BU322" s="302"/>
    </row>
    <row r="323" spans="1:73">
      <c r="A323" s="325"/>
      <c r="B323" s="394"/>
      <c r="C323" s="394" t="s">
        <v>394</v>
      </c>
      <c r="D323" s="326">
        <v>111.6</v>
      </c>
      <c r="E323" s="326">
        <v>107.336</v>
      </c>
      <c r="F323" s="395">
        <f t="shared" si="165"/>
        <v>4.5</v>
      </c>
      <c r="G323" s="394">
        <v>1500</v>
      </c>
      <c r="H323" s="396">
        <f t="shared" si="166"/>
        <v>5544</v>
      </c>
      <c r="I323" s="396">
        <v>1680</v>
      </c>
      <c r="J323" s="397"/>
      <c r="K323" s="398"/>
      <c r="L323" s="399">
        <f t="shared" si="167"/>
        <v>7.9553571428571423</v>
      </c>
      <c r="M323" s="400">
        <f t="shared" si="168"/>
        <v>3.5357142857142856</v>
      </c>
      <c r="N323" s="302"/>
      <c r="O323" s="302"/>
      <c r="P323" s="302"/>
      <c r="Q323" s="302"/>
      <c r="R323" s="302"/>
      <c r="S323" s="302"/>
      <c r="T323" s="302"/>
      <c r="U323" s="302"/>
      <c r="V323" s="302"/>
      <c r="W323" s="302"/>
      <c r="X323" s="302"/>
      <c r="Y323" s="302"/>
      <c r="Z323" s="302"/>
      <c r="AA323" s="302"/>
      <c r="AB323" s="302"/>
      <c r="AC323" s="302"/>
      <c r="AD323" s="302"/>
      <c r="AE323" s="302"/>
      <c r="AF323" s="391">
        <v>0</v>
      </c>
      <c r="AG323" s="392">
        <v>0</v>
      </c>
      <c r="AH323" s="392">
        <v>4380</v>
      </c>
      <c r="AI323" s="392">
        <v>4773</v>
      </c>
      <c r="AJ323" s="392">
        <v>5544</v>
      </c>
      <c r="AK323" s="392">
        <v>6030</v>
      </c>
      <c r="AL323" s="392">
        <v>7340</v>
      </c>
      <c r="AM323" s="392">
        <v>8680</v>
      </c>
      <c r="AN323" s="392">
        <v>8870</v>
      </c>
      <c r="AO323" s="393">
        <v>9270</v>
      </c>
      <c r="AP323" s="391">
        <f t="shared" si="169"/>
        <v>0</v>
      </c>
      <c r="AQ323" s="392">
        <f t="shared" si="170"/>
        <v>0</v>
      </c>
      <c r="AR323" s="392">
        <f t="shared" si="171"/>
        <v>0</v>
      </c>
      <c r="AS323" s="392">
        <f t="shared" si="172"/>
        <v>0</v>
      </c>
      <c r="AT323" s="392">
        <f t="shared" si="173"/>
        <v>5544</v>
      </c>
      <c r="AU323" s="392">
        <f t="shared" si="174"/>
        <v>0</v>
      </c>
      <c r="AV323" s="392">
        <f t="shared" si="175"/>
        <v>0</v>
      </c>
      <c r="AW323" s="392">
        <f t="shared" si="176"/>
        <v>0</v>
      </c>
      <c r="AX323" s="392">
        <f t="shared" si="177"/>
        <v>0</v>
      </c>
      <c r="AY323" s="393">
        <f t="shared" si="178"/>
        <v>0</v>
      </c>
      <c r="AZ323" s="302"/>
      <c r="BA323" s="302"/>
      <c r="BB323" s="302"/>
      <c r="BC323" s="302"/>
      <c r="BD323" s="302"/>
      <c r="BE323" s="302"/>
      <c r="BF323" s="302"/>
      <c r="BG323" s="302"/>
      <c r="BH323" s="302"/>
      <c r="BI323" s="302"/>
      <c r="BJ323" s="302"/>
      <c r="BK323" s="302"/>
      <c r="BL323" s="302"/>
      <c r="BM323" s="302"/>
      <c r="BN323" s="302"/>
      <c r="BO323" s="302"/>
      <c r="BP323" s="302"/>
      <c r="BQ323" s="302"/>
      <c r="BR323" s="302"/>
      <c r="BS323" s="302"/>
      <c r="BT323" s="302"/>
      <c r="BU323" s="302"/>
    </row>
    <row r="324" spans="1:73">
      <c r="A324" s="325"/>
      <c r="B324" s="394"/>
      <c r="C324" s="394" t="s">
        <v>395</v>
      </c>
      <c r="D324" s="326">
        <v>111.2</v>
      </c>
      <c r="E324" s="326">
        <v>107.16200000000001</v>
      </c>
      <c r="F324" s="395">
        <f t="shared" si="165"/>
        <v>4.25</v>
      </c>
      <c r="G324" s="394">
        <v>1500</v>
      </c>
      <c r="H324" s="396">
        <f t="shared" si="166"/>
        <v>5016</v>
      </c>
      <c r="I324" s="396">
        <v>1680</v>
      </c>
      <c r="J324" s="397"/>
      <c r="K324" s="398"/>
      <c r="L324" s="399">
        <f t="shared" si="167"/>
        <v>7.5133928571428568</v>
      </c>
      <c r="M324" s="400">
        <f t="shared" si="168"/>
        <v>3.5357142857142856</v>
      </c>
      <c r="N324" s="302"/>
      <c r="O324" s="302"/>
      <c r="P324" s="302"/>
      <c r="Q324" s="302"/>
      <c r="R324" s="302"/>
      <c r="S324" s="302"/>
      <c r="T324" s="302"/>
      <c r="U324" s="302"/>
      <c r="V324" s="302"/>
      <c r="W324" s="302"/>
      <c r="X324" s="302"/>
      <c r="Y324" s="302"/>
      <c r="Z324" s="302"/>
      <c r="AA324" s="302"/>
      <c r="AB324" s="302"/>
      <c r="AC324" s="302"/>
      <c r="AD324" s="302"/>
      <c r="AE324" s="302"/>
      <c r="AF324" s="391">
        <v>0</v>
      </c>
      <c r="AG324" s="392">
        <v>0</v>
      </c>
      <c r="AH324" s="392">
        <v>4090</v>
      </c>
      <c r="AI324" s="392">
        <v>4569</v>
      </c>
      <c r="AJ324" s="392">
        <v>5016</v>
      </c>
      <c r="AK324" s="392">
        <v>5740</v>
      </c>
      <c r="AL324" s="392">
        <v>6986</v>
      </c>
      <c r="AM324" s="392">
        <v>8415</v>
      </c>
      <c r="AN324" s="392">
        <v>8585</v>
      </c>
      <c r="AO324" s="393">
        <v>9080</v>
      </c>
      <c r="AP324" s="391">
        <f t="shared" si="169"/>
        <v>0</v>
      </c>
      <c r="AQ324" s="392">
        <f t="shared" si="170"/>
        <v>0</v>
      </c>
      <c r="AR324" s="392">
        <f t="shared" si="171"/>
        <v>0</v>
      </c>
      <c r="AS324" s="392">
        <f t="shared" si="172"/>
        <v>0</v>
      </c>
      <c r="AT324" s="392">
        <f t="shared" si="173"/>
        <v>5016</v>
      </c>
      <c r="AU324" s="392">
        <f t="shared" si="174"/>
        <v>0</v>
      </c>
      <c r="AV324" s="392">
        <f t="shared" si="175"/>
        <v>0</v>
      </c>
      <c r="AW324" s="392">
        <f t="shared" si="176"/>
        <v>0</v>
      </c>
      <c r="AX324" s="392">
        <f t="shared" si="177"/>
        <v>0</v>
      </c>
      <c r="AY324" s="393">
        <f t="shared" si="178"/>
        <v>0</v>
      </c>
      <c r="AZ324" s="302"/>
      <c r="BA324" s="302"/>
      <c r="BB324" s="302"/>
      <c r="BC324" s="302"/>
      <c r="BD324" s="302"/>
      <c r="BE324" s="302"/>
      <c r="BF324" s="302"/>
      <c r="BG324" s="302"/>
      <c r="BH324" s="302"/>
      <c r="BI324" s="302"/>
      <c r="BJ324" s="302"/>
      <c r="BK324" s="302"/>
      <c r="BL324" s="302"/>
      <c r="BM324" s="302"/>
      <c r="BN324" s="302"/>
      <c r="BO324" s="302"/>
      <c r="BP324" s="302"/>
      <c r="BQ324" s="302"/>
      <c r="BR324" s="302"/>
      <c r="BS324" s="302"/>
      <c r="BT324" s="302"/>
      <c r="BU324" s="302"/>
    </row>
    <row r="325" spans="1:73">
      <c r="A325" s="325"/>
      <c r="B325" s="394"/>
      <c r="C325" s="394" t="s">
        <v>396</v>
      </c>
      <c r="D325" s="326">
        <v>108.848</v>
      </c>
      <c r="E325" s="326">
        <v>106.887</v>
      </c>
      <c r="F325" s="395">
        <f t="shared" si="165"/>
        <v>2</v>
      </c>
      <c r="G325" s="394">
        <v>1200</v>
      </c>
      <c r="H325" s="396">
        <f t="shared" si="166"/>
        <v>1680</v>
      </c>
      <c r="I325" s="396">
        <v>1680</v>
      </c>
      <c r="J325" s="397"/>
      <c r="K325" s="398"/>
      <c r="L325" s="399">
        <f t="shared" si="167"/>
        <v>2.2628571428571429</v>
      </c>
      <c r="M325" s="400">
        <f t="shared" si="168"/>
        <v>3.5357142857142856</v>
      </c>
      <c r="N325" s="302"/>
      <c r="O325" s="302"/>
      <c r="P325" s="302"/>
      <c r="Q325" s="302"/>
      <c r="R325" s="302"/>
      <c r="S325" s="302"/>
      <c r="T325" s="302"/>
      <c r="U325" s="302"/>
      <c r="V325" s="302"/>
      <c r="W325" s="302"/>
      <c r="X325" s="302"/>
      <c r="Y325" s="302"/>
      <c r="Z325" s="302"/>
      <c r="AA325" s="302"/>
      <c r="AB325" s="302"/>
      <c r="AC325" s="302"/>
      <c r="AD325" s="302"/>
      <c r="AE325" s="302"/>
      <c r="AF325" s="391">
        <v>0</v>
      </c>
      <c r="AG325" s="392">
        <v>0</v>
      </c>
      <c r="AH325" s="392">
        <v>1680</v>
      </c>
      <c r="AI325" s="392">
        <v>1970</v>
      </c>
      <c r="AJ325" s="392">
        <v>2465</v>
      </c>
      <c r="AK325" s="392">
        <v>2728</v>
      </c>
      <c r="AL325" s="392">
        <v>3320</v>
      </c>
      <c r="AM325" s="392">
        <v>4661</v>
      </c>
      <c r="AN325" s="392">
        <v>5115</v>
      </c>
      <c r="AO325" s="393">
        <v>6870</v>
      </c>
      <c r="AP325" s="391">
        <f t="shared" si="169"/>
        <v>0</v>
      </c>
      <c r="AQ325" s="392">
        <f t="shared" si="170"/>
        <v>0</v>
      </c>
      <c r="AR325" s="392">
        <f t="shared" si="171"/>
        <v>1680</v>
      </c>
      <c r="AS325" s="392">
        <f t="shared" si="172"/>
        <v>0</v>
      </c>
      <c r="AT325" s="392">
        <f t="shared" si="173"/>
        <v>0</v>
      </c>
      <c r="AU325" s="392">
        <f t="shared" si="174"/>
        <v>0</v>
      </c>
      <c r="AV325" s="392">
        <f t="shared" si="175"/>
        <v>0</v>
      </c>
      <c r="AW325" s="392">
        <f t="shared" si="176"/>
        <v>0</v>
      </c>
      <c r="AX325" s="392">
        <f t="shared" si="177"/>
        <v>0</v>
      </c>
      <c r="AY325" s="393">
        <f t="shared" si="178"/>
        <v>0</v>
      </c>
      <c r="AZ325" s="302"/>
      <c r="BA325" s="302"/>
      <c r="BB325" s="302"/>
      <c r="BC325" s="302"/>
      <c r="BD325" s="302"/>
      <c r="BE325" s="302"/>
      <c r="BF325" s="302"/>
      <c r="BG325" s="302"/>
      <c r="BH325" s="302"/>
      <c r="BI325" s="302"/>
      <c r="BJ325" s="302"/>
      <c r="BK325" s="302"/>
      <c r="BL325" s="302"/>
      <c r="BM325" s="302"/>
      <c r="BN325" s="302"/>
      <c r="BO325" s="302"/>
      <c r="BP325" s="302"/>
      <c r="BQ325" s="302"/>
      <c r="BR325" s="302"/>
      <c r="BS325" s="302"/>
      <c r="BT325" s="302"/>
      <c r="BU325" s="302"/>
    </row>
    <row r="326" spans="1:73">
      <c r="A326" s="325"/>
      <c r="B326" s="394"/>
      <c r="C326" s="394" t="s">
        <v>397</v>
      </c>
      <c r="D326" s="326">
        <v>107.751</v>
      </c>
      <c r="E326" s="326">
        <v>105.79</v>
      </c>
      <c r="F326" s="395">
        <f t="shared" si="165"/>
        <v>2</v>
      </c>
      <c r="G326" s="394">
        <v>1200</v>
      </c>
      <c r="H326" s="396">
        <f t="shared" si="166"/>
        <v>1680</v>
      </c>
      <c r="I326" s="396">
        <v>1680</v>
      </c>
      <c r="J326" s="397"/>
      <c r="K326" s="398"/>
      <c r="L326" s="399">
        <f t="shared" si="167"/>
        <v>2.2628571428571429</v>
      </c>
      <c r="M326" s="400">
        <f t="shared" si="168"/>
        <v>3.5357142857142856</v>
      </c>
      <c r="N326" s="302"/>
      <c r="O326" s="302"/>
      <c r="P326" s="302"/>
      <c r="Q326" s="302"/>
      <c r="R326" s="302"/>
      <c r="S326" s="302"/>
      <c r="T326" s="302"/>
      <c r="U326" s="302"/>
      <c r="V326" s="302"/>
      <c r="W326" s="302"/>
      <c r="X326" s="302"/>
      <c r="Y326" s="302"/>
      <c r="Z326" s="302"/>
      <c r="AA326" s="302"/>
      <c r="AB326" s="302"/>
      <c r="AC326" s="302"/>
      <c r="AD326" s="302"/>
      <c r="AE326" s="302"/>
      <c r="AF326" s="391">
        <v>0</v>
      </c>
      <c r="AG326" s="392">
        <v>0</v>
      </c>
      <c r="AH326" s="392">
        <v>1680</v>
      </c>
      <c r="AI326" s="392">
        <v>1970</v>
      </c>
      <c r="AJ326" s="392">
        <v>2465</v>
      </c>
      <c r="AK326" s="392">
        <v>2728</v>
      </c>
      <c r="AL326" s="392">
        <v>3320</v>
      </c>
      <c r="AM326" s="392">
        <v>4661</v>
      </c>
      <c r="AN326" s="392">
        <v>5115</v>
      </c>
      <c r="AO326" s="393">
        <v>6870</v>
      </c>
      <c r="AP326" s="391">
        <f t="shared" si="169"/>
        <v>0</v>
      </c>
      <c r="AQ326" s="392">
        <f t="shared" si="170"/>
        <v>0</v>
      </c>
      <c r="AR326" s="392">
        <f t="shared" si="171"/>
        <v>1680</v>
      </c>
      <c r="AS326" s="392">
        <f t="shared" si="172"/>
        <v>0</v>
      </c>
      <c r="AT326" s="392">
        <f t="shared" si="173"/>
        <v>0</v>
      </c>
      <c r="AU326" s="392">
        <f t="shared" si="174"/>
        <v>0</v>
      </c>
      <c r="AV326" s="392">
        <f t="shared" si="175"/>
        <v>0</v>
      </c>
      <c r="AW326" s="392">
        <f t="shared" si="176"/>
        <v>0</v>
      </c>
      <c r="AX326" s="392">
        <f t="shared" si="177"/>
        <v>0</v>
      </c>
      <c r="AY326" s="393">
        <f t="shared" si="178"/>
        <v>0</v>
      </c>
      <c r="AZ326" s="302"/>
      <c r="BA326" s="302"/>
      <c r="BB326" s="302"/>
      <c r="BC326" s="302"/>
      <c r="BD326" s="302"/>
      <c r="BE326" s="302"/>
      <c r="BF326" s="302"/>
      <c r="BG326" s="302"/>
      <c r="BH326" s="302"/>
      <c r="BI326" s="302"/>
      <c r="BJ326" s="302"/>
      <c r="BK326" s="302"/>
      <c r="BL326" s="302"/>
      <c r="BM326" s="302"/>
      <c r="BN326" s="302"/>
      <c r="BO326" s="302"/>
      <c r="BP326" s="302"/>
      <c r="BQ326" s="302"/>
      <c r="BR326" s="302"/>
      <c r="BS326" s="302"/>
      <c r="BT326" s="302"/>
      <c r="BU326" s="302"/>
    </row>
    <row r="327" spans="1:73">
      <c r="A327" s="325"/>
      <c r="B327" s="394"/>
      <c r="C327" s="394" t="s">
        <v>398</v>
      </c>
      <c r="D327" s="326">
        <v>107.56699999999999</v>
      </c>
      <c r="E327" s="326">
        <v>105.79</v>
      </c>
      <c r="F327" s="395">
        <f t="shared" si="165"/>
        <v>2</v>
      </c>
      <c r="G327" s="394">
        <v>1200</v>
      </c>
      <c r="H327" s="396">
        <f t="shared" si="166"/>
        <v>1680</v>
      </c>
      <c r="I327" s="396">
        <v>1680</v>
      </c>
      <c r="J327" s="397"/>
      <c r="K327" s="398"/>
      <c r="L327" s="399">
        <f t="shared" si="167"/>
        <v>2.2628571428571429</v>
      </c>
      <c r="M327" s="400">
        <f t="shared" si="168"/>
        <v>3.5357142857142856</v>
      </c>
      <c r="N327" s="302"/>
      <c r="O327" s="302"/>
      <c r="P327" s="302"/>
      <c r="Q327" s="302"/>
      <c r="R327" s="302"/>
      <c r="S327" s="302"/>
      <c r="T327" s="302"/>
      <c r="U327" s="302"/>
      <c r="V327" s="302"/>
      <c r="W327" s="302"/>
      <c r="X327" s="302"/>
      <c r="Y327" s="302"/>
      <c r="Z327" s="302"/>
      <c r="AA327" s="302"/>
      <c r="AB327" s="302"/>
      <c r="AC327" s="302"/>
      <c r="AD327" s="302"/>
      <c r="AE327" s="302"/>
      <c r="AF327" s="391">
        <v>0</v>
      </c>
      <c r="AG327" s="392">
        <v>0</v>
      </c>
      <c r="AH327" s="392">
        <v>1680</v>
      </c>
      <c r="AI327" s="392">
        <v>1970</v>
      </c>
      <c r="AJ327" s="392">
        <v>2465</v>
      </c>
      <c r="AK327" s="392">
        <v>2728</v>
      </c>
      <c r="AL327" s="392">
        <v>3320</v>
      </c>
      <c r="AM327" s="392">
        <v>4661</v>
      </c>
      <c r="AN327" s="392">
        <v>5115</v>
      </c>
      <c r="AO327" s="393">
        <v>6870</v>
      </c>
      <c r="AP327" s="391">
        <f t="shared" si="169"/>
        <v>0</v>
      </c>
      <c r="AQ327" s="392">
        <f t="shared" si="170"/>
        <v>0</v>
      </c>
      <c r="AR327" s="392">
        <f t="shared" si="171"/>
        <v>1680</v>
      </c>
      <c r="AS327" s="392">
        <f t="shared" si="172"/>
        <v>0</v>
      </c>
      <c r="AT327" s="392">
        <f t="shared" si="173"/>
        <v>0</v>
      </c>
      <c r="AU327" s="392">
        <f t="shared" si="174"/>
        <v>0</v>
      </c>
      <c r="AV327" s="392">
        <f t="shared" si="175"/>
        <v>0</v>
      </c>
      <c r="AW327" s="392">
        <f t="shared" si="176"/>
        <v>0</v>
      </c>
      <c r="AX327" s="392">
        <f t="shared" si="177"/>
        <v>0</v>
      </c>
      <c r="AY327" s="393">
        <f t="shared" si="178"/>
        <v>0</v>
      </c>
      <c r="AZ327" s="302"/>
      <c r="BA327" s="302"/>
      <c r="BB327" s="302"/>
      <c r="BC327" s="302"/>
      <c r="BD327" s="302"/>
      <c r="BE327" s="302"/>
      <c r="BF327" s="302"/>
      <c r="BG327" s="302"/>
      <c r="BH327" s="302"/>
      <c r="BI327" s="302"/>
      <c r="BJ327" s="302"/>
      <c r="BK327" s="302"/>
      <c r="BL327" s="302"/>
      <c r="BM327" s="302"/>
      <c r="BN327" s="302"/>
      <c r="BO327" s="302"/>
      <c r="BP327" s="302"/>
      <c r="BQ327" s="302"/>
      <c r="BR327" s="302"/>
      <c r="BS327" s="302"/>
      <c r="BT327" s="302"/>
      <c r="BU327" s="302"/>
    </row>
    <row r="328" spans="1:73">
      <c r="A328" s="325"/>
      <c r="B328" s="394"/>
      <c r="C328" s="394" t="s">
        <v>399</v>
      </c>
      <c r="D328" s="326">
        <v>107.5</v>
      </c>
      <c r="E328" s="326">
        <v>105.69799999999999</v>
      </c>
      <c r="F328" s="395">
        <f t="shared" si="165"/>
        <v>2</v>
      </c>
      <c r="G328" s="394">
        <v>1200</v>
      </c>
      <c r="H328" s="396">
        <f t="shared" si="166"/>
        <v>1680</v>
      </c>
      <c r="I328" s="396">
        <v>1680</v>
      </c>
      <c r="J328" s="397"/>
      <c r="K328" s="398"/>
      <c r="L328" s="399">
        <f t="shared" si="167"/>
        <v>2.2628571428571429</v>
      </c>
      <c r="M328" s="400">
        <f t="shared" si="168"/>
        <v>3.5357142857142856</v>
      </c>
      <c r="N328" s="302"/>
      <c r="O328" s="302"/>
      <c r="P328" s="302"/>
      <c r="Q328" s="302"/>
      <c r="R328" s="302"/>
      <c r="S328" s="302"/>
      <c r="T328" s="302"/>
      <c r="U328" s="302"/>
      <c r="V328" s="302"/>
      <c r="W328" s="302"/>
      <c r="X328" s="302"/>
      <c r="Y328" s="302"/>
      <c r="Z328" s="302"/>
      <c r="AA328" s="302"/>
      <c r="AB328" s="302"/>
      <c r="AC328" s="302"/>
      <c r="AD328" s="302"/>
      <c r="AE328" s="302"/>
      <c r="AF328" s="391">
        <v>0</v>
      </c>
      <c r="AG328" s="392">
        <v>0</v>
      </c>
      <c r="AH328" s="392">
        <v>1680</v>
      </c>
      <c r="AI328" s="392">
        <v>1970</v>
      </c>
      <c r="AJ328" s="392">
        <v>2465</v>
      </c>
      <c r="AK328" s="392">
        <v>2728</v>
      </c>
      <c r="AL328" s="392">
        <v>3320</v>
      </c>
      <c r="AM328" s="392">
        <v>4661</v>
      </c>
      <c r="AN328" s="392">
        <v>5115</v>
      </c>
      <c r="AO328" s="393">
        <v>6870</v>
      </c>
      <c r="AP328" s="391">
        <f t="shared" si="169"/>
        <v>0</v>
      </c>
      <c r="AQ328" s="392">
        <f t="shared" si="170"/>
        <v>0</v>
      </c>
      <c r="AR328" s="392">
        <f t="shared" si="171"/>
        <v>1680</v>
      </c>
      <c r="AS328" s="392">
        <f t="shared" si="172"/>
        <v>0</v>
      </c>
      <c r="AT328" s="392">
        <f t="shared" si="173"/>
        <v>0</v>
      </c>
      <c r="AU328" s="392">
        <f t="shared" si="174"/>
        <v>0</v>
      </c>
      <c r="AV328" s="392">
        <f t="shared" si="175"/>
        <v>0</v>
      </c>
      <c r="AW328" s="392">
        <f t="shared" si="176"/>
        <v>0</v>
      </c>
      <c r="AX328" s="392">
        <f t="shared" si="177"/>
        <v>0</v>
      </c>
      <c r="AY328" s="393">
        <f t="shared" si="178"/>
        <v>0</v>
      </c>
      <c r="AZ328" s="302"/>
      <c r="BA328" s="302"/>
      <c r="BB328" s="302"/>
      <c r="BC328" s="302"/>
      <c r="BD328" s="302"/>
      <c r="BE328" s="302"/>
      <c r="BF328" s="302"/>
      <c r="BG328" s="302"/>
      <c r="BH328" s="302"/>
      <c r="BI328" s="302"/>
      <c r="BJ328" s="302"/>
      <c r="BK328" s="302"/>
      <c r="BL328" s="302"/>
      <c r="BM328" s="302"/>
      <c r="BN328" s="302"/>
      <c r="BO328" s="302"/>
      <c r="BP328" s="302"/>
      <c r="BQ328" s="302"/>
      <c r="BR328" s="302"/>
      <c r="BS328" s="302"/>
      <c r="BT328" s="302"/>
      <c r="BU328" s="302"/>
    </row>
    <row r="329" spans="1:73">
      <c r="A329" s="325"/>
      <c r="B329" s="394"/>
      <c r="C329" s="394" t="s">
        <v>400</v>
      </c>
      <c r="D329" s="326"/>
      <c r="E329" s="326"/>
      <c r="F329" s="395">
        <f t="shared" si="165"/>
        <v>0</v>
      </c>
      <c r="G329" s="394"/>
      <c r="H329" s="396">
        <f t="shared" si="166"/>
        <v>0</v>
      </c>
      <c r="I329" s="396">
        <v>0</v>
      </c>
      <c r="J329" s="397"/>
      <c r="K329" s="398"/>
      <c r="L329" s="399">
        <f t="shared" si="167"/>
        <v>0</v>
      </c>
      <c r="M329" s="400">
        <f t="shared" si="168"/>
        <v>0</v>
      </c>
      <c r="N329" s="302"/>
      <c r="O329" s="302"/>
      <c r="P329" s="302"/>
      <c r="Q329" s="302"/>
      <c r="R329" s="302"/>
      <c r="S329" s="302"/>
      <c r="T329" s="302"/>
      <c r="U329" s="302"/>
      <c r="V329" s="302"/>
      <c r="W329" s="302"/>
      <c r="X329" s="302"/>
      <c r="Y329" s="302"/>
      <c r="Z329" s="302"/>
      <c r="AA329" s="302"/>
      <c r="AB329" s="302"/>
      <c r="AC329" s="302"/>
      <c r="AD329" s="302"/>
      <c r="AE329" s="302"/>
      <c r="AF329" s="391">
        <v>0</v>
      </c>
      <c r="AG329" s="392">
        <v>0</v>
      </c>
      <c r="AH329" s="392">
        <v>0</v>
      </c>
      <c r="AI329" s="392">
        <v>0</v>
      </c>
      <c r="AJ329" s="392">
        <v>0</v>
      </c>
      <c r="AK329" s="392">
        <v>0</v>
      </c>
      <c r="AL329" s="392">
        <v>0</v>
      </c>
      <c r="AM329" s="392">
        <v>0</v>
      </c>
      <c r="AN329" s="392">
        <v>0</v>
      </c>
      <c r="AO329" s="393">
        <v>0</v>
      </c>
      <c r="AP329" s="391">
        <f t="shared" si="169"/>
        <v>0</v>
      </c>
      <c r="AQ329" s="392">
        <f t="shared" si="170"/>
        <v>0</v>
      </c>
      <c r="AR329" s="392">
        <f t="shared" si="171"/>
        <v>0</v>
      </c>
      <c r="AS329" s="392">
        <f t="shared" si="172"/>
        <v>0</v>
      </c>
      <c r="AT329" s="392">
        <f t="shared" si="173"/>
        <v>0</v>
      </c>
      <c r="AU329" s="392">
        <f t="shared" si="174"/>
        <v>0</v>
      </c>
      <c r="AV329" s="392">
        <f t="shared" si="175"/>
        <v>0</v>
      </c>
      <c r="AW329" s="392">
        <f t="shared" si="176"/>
        <v>0</v>
      </c>
      <c r="AX329" s="392">
        <f t="shared" si="177"/>
        <v>0</v>
      </c>
      <c r="AY329" s="393">
        <f t="shared" si="178"/>
        <v>0</v>
      </c>
      <c r="AZ329" s="302"/>
      <c r="BA329" s="302"/>
      <c r="BB329" s="302"/>
      <c r="BC329" s="302"/>
      <c r="BD329" s="302"/>
      <c r="BE329" s="302"/>
      <c r="BF329" s="302"/>
      <c r="BG329" s="302"/>
      <c r="BH329" s="302"/>
      <c r="BI329" s="302"/>
      <c r="BJ329" s="302"/>
      <c r="BK329" s="302"/>
      <c r="BL329" s="302"/>
      <c r="BM329" s="302"/>
      <c r="BN329" s="302"/>
      <c r="BO329" s="302"/>
      <c r="BP329" s="302"/>
      <c r="BQ329" s="302"/>
      <c r="BR329" s="302"/>
      <c r="BS329" s="302"/>
      <c r="BT329" s="302"/>
      <c r="BU329" s="302"/>
    </row>
    <row r="330" spans="1:73">
      <c r="A330" s="325"/>
      <c r="B330" s="394"/>
      <c r="C330" s="394" t="s">
        <v>400</v>
      </c>
      <c r="D330" s="326"/>
      <c r="E330" s="326"/>
      <c r="F330" s="395">
        <f t="shared" si="165"/>
        <v>0</v>
      </c>
      <c r="G330" s="394"/>
      <c r="H330" s="396">
        <f t="shared" si="166"/>
        <v>0</v>
      </c>
      <c r="I330" s="396">
        <v>0</v>
      </c>
      <c r="J330" s="397"/>
      <c r="K330" s="398"/>
      <c r="L330" s="399">
        <f t="shared" si="167"/>
        <v>0</v>
      </c>
      <c r="M330" s="400">
        <f t="shared" si="168"/>
        <v>0</v>
      </c>
      <c r="N330" s="302"/>
      <c r="O330" s="302"/>
      <c r="P330" s="302"/>
      <c r="Q330" s="302"/>
      <c r="R330" s="302"/>
      <c r="S330" s="302"/>
      <c r="T330" s="302"/>
      <c r="U330" s="302"/>
      <c r="V330" s="302"/>
      <c r="W330" s="302"/>
      <c r="X330" s="302"/>
      <c r="Y330" s="302"/>
      <c r="Z330" s="302"/>
      <c r="AA330" s="302"/>
      <c r="AB330" s="302"/>
      <c r="AC330" s="302"/>
      <c r="AD330" s="302"/>
      <c r="AE330" s="302"/>
      <c r="AF330" s="391">
        <v>0</v>
      </c>
      <c r="AG330" s="392">
        <v>0</v>
      </c>
      <c r="AH330" s="392">
        <v>0</v>
      </c>
      <c r="AI330" s="392">
        <v>0</v>
      </c>
      <c r="AJ330" s="392">
        <v>0</v>
      </c>
      <c r="AK330" s="392">
        <v>0</v>
      </c>
      <c r="AL330" s="392">
        <v>0</v>
      </c>
      <c r="AM330" s="392">
        <v>0</v>
      </c>
      <c r="AN330" s="392">
        <v>0</v>
      </c>
      <c r="AO330" s="393">
        <v>0</v>
      </c>
      <c r="AP330" s="391">
        <f t="shared" si="169"/>
        <v>0</v>
      </c>
      <c r="AQ330" s="392">
        <f t="shared" si="170"/>
        <v>0</v>
      </c>
      <c r="AR330" s="392">
        <f t="shared" si="171"/>
        <v>0</v>
      </c>
      <c r="AS330" s="392">
        <f t="shared" si="172"/>
        <v>0</v>
      </c>
      <c r="AT330" s="392">
        <f t="shared" si="173"/>
        <v>0</v>
      </c>
      <c r="AU330" s="392">
        <f t="shared" si="174"/>
        <v>0</v>
      </c>
      <c r="AV330" s="392">
        <f t="shared" si="175"/>
        <v>0</v>
      </c>
      <c r="AW330" s="392">
        <f t="shared" si="176"/>
        <v>0</v>
      </c>
      <c r="AX330" s="392">
        <f t="shared" si="177"/>
        <v>0</v>
      </c>
      <c r="AY330" s="393">
        <f t="shared" si="178"/>
        <v>0</v>
      </c>
      <c r="AZ330" s="302"/>
      <c r="BA330" s="302"/>
      <c r="BB330" s="302"/>
      <c r="BC330" s="302"/>
      <c r="BD330" s="302"/>
      <c r="BE330" s="302"/>
      <c r="BF330" s="302"/>
      <c r="BG330" s="302"/>
      <c r="BH330" s="302"/>
      <c r="BI330" s="302"/>
      <c r="BJ330" s="302"/>
      <c r="BK330" s="302"/>
      <c r="BL330" s="302"/>
      <c r="BM330" s="302"/>
      <c r="BN330" s="302"/>
      <c r="BO330" s="302"/>
      <c r="BP330" s="302"/>
      <c r="BQ330" s="302"/>
      <c r="BR330" s="302"/>
      <c r="BS330" s="302"/>
      <c r="BT330" s="302"/>
      <c r="BU330" s="302"/>
    </row>
    <row r="331" spans="1:73" ht="14" thickBot="1">
      <c r="A331" s="348"/>
      <c r="B331" s="417"/>
      <c r="C331" s="417" t="s">
        <v>400</v>
      </c>
      <c r="D331" s="349"/>
      <c r="E331" s="349"/>
      <c r="F331" s="418">
        <f t="shared" si="165"/>
        <v>0</v>
      </c>
      <c r="G331" s="417"/>
      <c r="H331" s="419">
        <f t="shared" si="166"/>
        <v>0</v>
      </c>
      <c r="I331" s="419">
        <v>0</v>
      </c>
      <c r="J331" s="372"/>
      <c r="K331" s="420"/>
      <c r="L331" s="421">
        <f t="shared" si="167"/>
        <v>0</v>
      </c>
      <c r="M331" s="422">
        <f t="shared" si="168"/>
        <v>0</v>
      </c>
      <c r="N331" s="302"/>
      <c r="O331" s="302"/>
      <c r="P331" s="302"/>
      <c r="Q331" s="302"/>
      <c r="R331" s="302"/>
      <c r="S331" s="302"/>
      <c r="T331" s="302"/>
      <c r="U331" s="302"/>
      <c r="V331" s="302"/>
      <c r="W331" s="302"/>
      <c r="X331" s="302"/>
      <c r="Y331" s="302"/>
      <c r="Z331" s="302"/>
      <c r="AA331" s="302"/>
      <c r="AB331" s="302"/>
      <c r="AC331" s="302"/>
      <c r="AD331" s="302"/>
      <c r="AE331" s="302"/>
      <c r="AF331" s="424">
        <v>0</v>
      </c>
      <c r="AG331" s="425">
        <v>0</v>
      </c>
      <c r="AH331" s="425">
        <v>0</v>
      </c>
      <c r="AI331" s="425">
        <v>0</v>
      </c>
      <c r="AJ331" s="425">
        <v>0</v>
      </c>
      <c r="AK331" s="425">
        <v>0</v>
      </c>
      <c r="AL331" s="425">
        <v>0</v>
      </c>
      <c r="AM331" s="425">
        <v>0</v>
      </c>
      <c r="AN331" s="425">
        <v>0</v>
      </c>
      <c r="AO331" s="426">
        <v>0</v>
      </c>
      <c r="AP331" s="424">
        <f t="shared" si="169"/>
        <v>0</v>
      </c>
      <c r="AQ331" s="425">
        <f t="shared" si="170"/>
        <v>0</v>
      </c>
      <c r="AR331" s="425">
        <f t="shared" si="171"/>
        <v>0</v>
      </c>
      <c r="AS331" s="425">
        <f t="shared" si="172"/>
        <v>0</v>
      </c>
      <c r="AT331" s="425">
        <f t="shared" si="173"/>
        <v>0</v>
      </c>
      <c r="AU331" s="425">
        <f t="shared" si="174"/>
        <v>0</v>
      </c>
      <c r="AV331" s="425">
        <f t="shared" si="175"/>
        <v>0</v>
      </c>
      <c r="AW331" s="425">
        <f t="shared" si="176"/>
        <v>0</v>
      </c>
      <c r="AX331" s="425">
        <f t="shared" si="177"/>
        <v>0</v>
      </c>
      <c r="AY331" s="426">
        <f t="shared" si="178"/>
        <v>0</v>
      </c>
      <c r="AZ331" s="302"/>
      <c r="BA331" s="302"/>
      <c r="BB331" s="302"/>
      <c r="BC331" s="302"/>
      <c r="BD331" s="302"/>
      <c r="BE331" s="302"/>
      <c r="BF331" s="302"/>
      <c r="BG331" s="302"/>
      <c r="BH331" s="302"/>
      <c r="BI331" s="302"/>
      <c r="BJ331" s="302"/>
      <c r="BK331" s="302"/>
      <c r="BL331" s="302"/>
      <c r="BM331" s="302"/>
      <c r="BN331" s="302"/>
      <c r="BO331" s="302"/>
      <c r="BP331" s="302"/>
      <c r="BQ331" s="302"/>
      <c r="BR331" s="302"/>
      <c r="BS331" s="302"/>
      <c r="BT331" s="302"/>
      <c r="BU331" s="302"/>
    </row>
    <row r="332" spans="1:73" s="342" customFormat="1" ht="20" customHeight="1">
      <c r="A332" s="428">
        <f>SUM(A309:A331)</f>
        <v>0</v>
      </c>
      <c r="B332" s="428">
        <f>SUM(B309:B331)</f>
        <v>0</v>
      </c>
      <c r="C332" s="428"/>
      <c r="D332" s="428"/>
      <c r="E332" s="428"/>
      <c r="F332" s="428"/>
      <c r="G332" s="428"/>
      <c r="H332" s="429">
        <f>SUM(H309:H331)</f>
        <v>73833</v>
      </c>
      <c r="I332" s="429">
        <f>SUM(I309:I331)</f>
        <v>31920</v>
      </c>
      <c r="J332" s="428"/>
      <c r="K332" s="428"/>
      <c r="L332" s="430">
        <f>ROUND(SUM(L309:L331),0)</f>
        <v>113</v>
      </c>
      <c r="M332" s="430">
        <f>ROUND(SUM(M309:M331),0)</f>
        <v>67</v>
      </c>
      <c r="N332" s="324"/>
      <c r="O332" s="324"/>
      <c r="P332" s="324"/>
      <c r="Q332" s="324"/>
      <c r="R332" s="324"/>
      <c r="S332" s="324"/>
      <c r="T332" s="324"/>
      <c r="U332" s="324"/>
      <c r="V332" s="324"/>
      <c r="W332" s="324"/>
      <c r="X332" s="324"/>
      <c r="Y332" s="324"/>
      <c r="Z332" s="324"/>
      <c r="AA332" s="324"/>
      <c r="AB332" s="324"/>
      <c r="AC332" s="324"/>
      <c r="AD332" s="324"/>
      <c r="AE332" s="324"/>
      <c r="AF332" s="324"/>
      <c r="AG332" s="324"/>
      <c r="AH332" s="324"/>
      <c r="AI332" s="324"/>
      <c r="AJ332" s="324"/>
      <c r="AK332" s="324"/>
      <c r="AL332" s="324"/>
      <c r="AM332" s="324"/>
      <c r="AN332" s="324"/>
      <c r="AO332" s="324"/>
      <c r="AP332" s="324"/>
      <c r="AQ332" s="324"/>
      <c r="AR332" s="324"/>
      <c r="AS332" s="324"/>
      <c r="AT332" s="324"/>
      <c r="AU332" s="324"/>
      <c r="AV332" s="324"/>
      <c r="AW332" s="324"/>
      <c r="AX332" s="324"/>
      <c r="AY332" s="324"/>
      <c r="AZ332" s="324"/>
      <c r="BA332" s="324"/>
      <c r="BB332" s="324"/>
      <c r="BC332" s="324"/>
      <c r="BD332" s="324"/>
      <c r="BE332" s="324"/>
      <c r="BF332" s="324"/>
      <c r="BG332" s="324"/>
      <c r="BH332" s="324"/>
      <c r="BI332" s="324"/>
      <c r="BJ332" s="324"/>
      <c r="BK332" s="324"/>
      <c r="BL332" s="324"/>
      <c r="BM332" s="324"/>
      <c r="BN332" s="324"/>
      <c r="BO332" s="324"/>
      <c r="BP332" s="324"/>
      <c r="BQ332" s="324"/>
      <c r="BR332" s="324"/>
      <c r="BS332" s="324"/>
      <c r="BT332" s="324"/>
      <c r="BU332" s="324"/>
    </row>
    <row r="333" spans="1:73" s="342" customFormat="1" ht="20" customHeight="1">
      <c r="A333" s="359"/>
      <c r="B333" s="359"/>
      <c r="C333" s="359"/>
      <c r="D333" s="359"/>
      <c r="E333" s="359"/>
      <c r="F333" s="359"/>
      <c r="G333" s="359"/>
      <c r="H333" s="432">
        <f>I332</f>
        <v>31920</v>
      </c>
      <c r="I333" s="359"/>
      <c r="J333" s="359"/>
      <c r="K333" s="359"/>
      <c r="L333" s="359"/>
      <c r="M333" s="359"/>
      <c r="N333" s="324"/>
      <c r="O333" s="324"/>
      <c r="P333" s="324"/>
      <c r="Q333" s="324"/>
      <c r="R333" s="324"/>
      <c r="S333" s="324"/>
      <c r="T333" s="324"/>
      <c r="U333" s="324"/>
      <c r="V333" s="324"/>
      <c r="W333" s="324"/>
      <c r="X333" s="324"/>
      <c r="Y333" s="324"/>
      <c r="Z333" s="324"/>
      <c r="AA333" s="324"/>
      <c r="AB333" s="324"/>
      <c r="AC333" s="324"/>
      <c r="AD333" s="324"/>
      <c r="AE333" s="324"/>
      <c r="AF333" s="324"/>
      <c r="AG333" s="324"/>
      <c r="AH333" s="324"/>
      <c r="AI333" s="324"/>
      <c r="AJ333" s="324"/>
      <c r="AK333" s="324"/>
      <c r="AL333" s="324"/>
      <c r="AM333" s="324"/>
      <c r="AN333" s="324"/>
      <c r="AO333" s="324"/>
      <c r="AP333" s="324"/>
      <c r="AQ333" s="324"/>
      <c r="AR333" s="324"/>
      <c r="AS333" s="324"/>
      <c r="AT333" s="324"/>
      <c r="AU333" s="324"/>
      <c r="AV333" s="324"/>
      <c r="AW333" s="324"/>
      <c r="AX333" s="324"/>
      <c r="AY333" s="324"/>
      <c r="AZ333" s="324"/>
      <c r="BA333" s="324"/>
      <c r="BB333" s="324"/>
      <c r="BC333" s="324"/>
      <c r="BD333" s="324"/>
      <c r="BE333" s="324"/>
      <c r="BF333" s="324"/>
      <c r="BG333" s="324"/>
      <c r="BH333" s="324"/>
      <c r="BI333" s="324"/>
      <c r="BJ333" s="324"/>
      <c r="BK333" s="324"/>
      <c r="BL333" s="324"/>
      <c r="BM333" s="324"/>
      <c r="BN333" s="324"/>
      <c r="BO333" s="324"/>
      <c r="BP333" s="324"/>
      <c r="BQ333" s="324"/>
      <c r="BR333" s="324"/>
      <c r="BS333" s="324"/>
      <c r="BT333" s="324"/>
      <c r="BU333" s="324"/>
    </row>
    <row r="334" spans="1:73" s="342" customFormat="1" ht="20" customHeight="1">
      <c r="A334" s="359"/>
      <c r="B334" s="359"/>
      <c r="C334" s="359"/>
      <c r="D334" s="359"/>
      <c r="E334" s="359"/>
      <c r="F334" s="359"/>
      <c r="G334" s="369" t="s">
        <v>109</v>
      </c>
      <c r="H334" s="429">
        <f>ROUND(H332-H333,-2)</f>
        <v>41900</v>
      </c>
      <c r="I334" s="359"/>
      <c r="J334" s="359"/>
      <c r="K334" s="359"/>
      <c r="L334" s="359" t="s">
        <v>3</v>
      </c>
      <c r="M334" s="359"/>
      <c r="N334" s="324"/>
      <c r="O334" s="324"/>
      <c r="P334" s="324"/>
      <c r="Q334" s="324"/>
      <c r="R334" s="324"/>
      <c r="S334" s="324"/>
      <c r="T334" s="324"/>
      <c r="U334" s="324"/>
      <c r="V334" s="324"/>
      <c r="W334" s="324"/>
      <c r="X334" s="324"/>
      <c r="Y334" s="324"/>
      <c r="Z334" s="324"/>
      <c r="AA334" s="324"/>
      <c r="AB334" s="324"/>
      <c r="AC334" s="324"/>
      <c r="AD334" s="324"/>
      <c r="AE334" s="324"/>
      <c r="AF334" s="324"/>
      <c r="AG334" s="324"/>
      <c r="AH334" s="324"/>
      <c r="AI334" s="324"/>
      <c r="AJ334" s="324"/>
      <c r="AK334" s="324"/>
      <c r="AL334" s="324"/>
      <c r="AM334" s="324"/>
      <c r="AN334" s="324"/>
      <c r="AO334" s="324"/>
      <c r="AP334" s="324"/>
      <c r="AQ334" s="324"/>
      <c r="AR334" s="324"/>
      <c r="AS334" s="324"/>
      <c r="AT334" s="324"/>
      <c r="AU334" s="324"/>
      <c r="AV334" s="324"/>
      <c r="AW334" s="324"/>
      <c r="AX334" s="324"/>
      <c r="AY334" s="324"/>
      <c r="AZ334" s="324"/>
      <c r="BA334" s="324"/>
      <c r="BB334" s="324"/>
      <c r="BC334" s="324"/>
      <c r="BD334" s="324"/>
      <c r="BE334" s="324"/>
      <c r="BF334" s="324"/>
      <c r="BG334" s="324"/>
      <c r="BH334" s="324"/>
      <c r="BI334" s="324"/>
      <c r="BJ334" s="324"/>
      <c r="BK334" s="324"/>
      <c r="BL334" s="324"/>
      <c r="BM334" s="324"/>
      <c r="BN334" s="324"/>
      <c r="BO334" s="324"/>
      <c r="BP334" s="324"/>
      <c r="BQ334" s="324"/>
      <c r="BR334" s="324"/>
      <c r="BS334" s="324"/>
      <c r="BT334" s="324"/>
      <c r="BU334" s="324"/>
    </row>
    <row r="335" spans="1:73" s="342" customFormat="1" ht="20" customHeight="1" thickBot="1">
      <c r="A335" s="359"/>
      <c r="B335" s="359"/>
      <c r="C335" s="359"/>
      <c r="D335" s="359"/>
      <c r="E335" s="359"/>
      <c r="F335" s="359"/>
      <c r="G335" s="369" t="s">
        <v>110</v>
      </c>
      <c r="H335" s="434">
        <f>COUNT(G309:G331)</f>
        <v>19</v>
      </c>
      <c r="I335" s="359"/>
      <c r="J335" s="359"/>
      <c r="K335" s="359"/>
      <c r="L335" s="359" t="s">
        <v>404</v>
      </c>
      <c r="M335" s="359"/>
      <c r="N335" s="324"/>
      <c r="O335" s="324"/>
      <c r="P335" s="324"/>
      <c r="Q335" s="324"/>
      <c r="R335" s="324"/>
      <c r="S335" s="324"/>
      <c r="T335" s="324"/>
      <c r="U335" s="324"/>
      <c r="V335" s="324"/>
      <c r="W335" s="324"/>
      <c r="X335" s="324"/>
      <c r="Y335" s="324"/>
      <c r="Z335" s="324"/>
      <c r="AA335" s="324"/>
      <c r="AB335" s="324"/>
      <c r="AC335" s="324"/>
      <c r="AD335" s="324"/>
      <c r="AE335" s="324"/>
      <c r="AF335" s="324"/>
      <c r="AG335" s="324"/>
      <c r="AH335" s="324"/>
      <c r="AI335" s="324"/>
      <c r="AJ335" s="324"/>
      <c r="AK335" s="324"/>
      <c r="AL335" s="324"/>
      <c r="AM335" s="324"/>
      <c r="AN335" s="324"/>
      <c r="AO335" s="324"/>
      <c r="AP335" s="324"/>
      <c r="AQ335" s="324"/>
      <c r="AR335" s="324"/>
      <c r="AS335" s="324"/>
      <c r="AT335" s="324"/>
      <c r="AU335" s="324"/>
      <c r="AV335" s="324"/>
      <c r="AW335" s="324"/>
      <c r="AX335" s="324"/>
      <c r="AY335" s="324"/>
      <c r="AZ335" s="324"/>
      <c r="BA335" s="324"/>
      <c r="BB335" s="324"/>
      <c r="BC335" s="324"/>
      <c r="BD335" s="324"/>
      <c r="BE335" s="324"/>
      <c r="BF335" s="324"/>
      <c r="BG335" s="324"/>
      <c r="BH335" s="324"/>
      <c r="BI335" s="324"/>
      <c r="BJ335" s="324"/>
      <c r="BK335" s="324"/>
      <c r="BL335" s="324"/>
      <c r="BM335" s="324"/>
      <c r="BN335" s="324"/>
      <c r="BO335" s="324"/>
      <c r="BP335" s="324"/>
      <c r="BQ335" s="324"/>
      <c r="BR335" s="324"/>
      <c r="BS335" s="324"/>
      <c r="BT335" s="324"/>
      <c r="BU335" s="324"/>
    </row>
    <row r="336" spans="1:73" s="342" customFormat="1" ht="20" customHeight="1" thickBot="1">
      <c r="A336" s="359"/>
      <c r="B336" s="359"/>
      <c r="C336" s="359"/>
      <c r="D336" s="359"/>
      <c r="E336" s="359"/>
      <c r="F336" s="359"/>
      <c r="G336" s="369" t="s">
        <v>112</v>
      </c>
      <c r="H336" s="435">
        <f>IF(H335&gt;0,H334/H335,0)</f>
        <v>2205.2631578947367</v>
      </c>
      <c r="I336" s="359"/>
      <c r="J336" s="359"/>
      <c r="K336" s="359"/>
      <c r="L336" s="436">
        <f>L332+AE303</f>
        <v>894</v>
      </c>
      <c r="M336" s="359"/>
      <c r="N336" s="324"/>
      <c r="O336" s="324"/>
      <c r="P336" s="324"/>
      <c r="Q336" s="324"/>
      <c r="R336" s="324"/>
      <c r="S336" s="324"/>
      <c r="T336" s="324"/>
      <c r="U336" s="324"/>
      <c r="V336" s="324"/>
      <c r="W336" s="324"/>
      <c r="X336" s="324"/>
      <c r="Y336" s="324"/>
      <c r="Z336" s="324"/>
      <c r="AA336" s="324"/>
      <c r="AB336" s="324"/>
      <c r="AC336" s="324"/>
      <c r="AD336" s="324"/>
      <c r="AE336" s="324"/>
      <c r="AF336" s="324"/>
      <c r="AG336" s="324"/>
      <c r="AH336" s="324"/>
      <c r="AI336" s="324"/>
      <c r="AJ336" s="324"/>
      <c r="AK336" s="324"/>
      <c r="AL336" s="324"/>
      <c r="AM336" s="324"/>
      <c r="AN336" s="324"/>
      <c r="AO336" s="324"/>
      <c r="AP336" s="324"/>
      <c r="AQ336" s="324"/>
      <c r="AR336" s="324"/>
      <c r="AS336" s="324"/>
      <c r="AT336" s="324"/>
      <c r="AU336" s="324"/>
      <c r="AV336" s="324"/>
      <c r="AW336" s="324"/>
      <c r="AX336" s="324"/>
      <c r="AY336" s="324"/>
      <c r="AZ336" s="324"/>
      <c r="BA336" s="324"/>
      <c r="BB336" s="324"/>
      <c r="BC336" s="324"/>
      <c r="BD336" s="324"/>
      <c r="BE336" s="324"/>
      <c r="BF336" s="324"/>
      <c r="BG336" s="324"/>
      <c r="BH336" s="324"/>
      <c r="BI336" s="324"/>
      <c r="BJ336" s="324"/>
      <c r="BK336" s="324"/>
      <c r="BL336" s="324"/>
      <c r="BM336" s="324"/>
      <c r="BN336" s="324"/>
      <c r="BO336" s="324"/>
      <c r="BP336" s="324"/>
      <c r="BQ336" s="324"/>
      <c r="BR336" s="324"/>
      <c r="BS336" s="324"/>
      <c r="BT336" s="324"/>
      <c r="BU336" s="324"/>
    </row>
    <row r="337" spans="1:73">
      <c r="A337" s="302"/>
      <c r="B337" s="302"/>
      <c r="C337" s="302"/>
      <c r="D337" s="302"/>
      <c r="E337" s="302"/>
      <c r="F337" s="302"/>
      <c r="G337" s="302"/>
      <c r="H337" s="304"/>
      <c r="I337" s="302"/>
      <c r="J337" s="302"/>
      <c r="K337" s="302"/>
      <c r="L337" s="302"/>
      <c r="M337" s="302"/>
      <c r="N337" s="302"/>
      <c r="O337" s="302"/>
      <c r="P337" s="302"/>
      <c r="Q337" s="302"/>
      <c r="R337" s="302"/>
      <c r="S337" s="302"/>
      <c r="T337" s="302"/>
      <c r="U337" s="302"/>
      <c r="V337" s="302"/>
      <c r="W337" s="302"/>
      <c r="X337" s="302"/>
      <c r="Y337" s="302"/>
      <c r="Z337" s="302"/>
      <c r="AA337" s="302"/>
      <c r="AB337" s="302"/>
      <c r="AC337" s="302"/>
      <c r="AD337" s="302"/>
      <c r="AE337" s="302"/>
      <c r="AF337" s="302"/>
      <c r="AG337" s="302"/>
      <c r="AH337" s="302"/>
      <c r="AI337" s="302"/>
      <c r="AJ337" s="302"/>
      <c r="AK337" s="302"/>
      <c r="AL337" s="302"/>
      <c r="AM337" s="302"/>
      <c r="AN337" s="302"/>
      <c r="AO337" s="302"/>
      <c r="AP337" s="302"/>
      <c r="AQ337" s="302"/>
      <c r="AR337" s="302"/>
      <c r="AS337" s="302"/>
      <c r="AT337" s="302"/>
      <c r="AU337" s="302"/>
      <c r="AV337" s="302"/>
      <c r="AW337" s="302"/>
      <c r="AX337" s="302"/>
      <c r="AY337" s="302"/>
      <c r="AZ337" s="302"/>
      <c r="BA337" s="302"/>
      <c r="BB337" s="302"/>
      <c r="BC337" s="302"/>
      <c r="BD337" s="302"/>
      <c r="BE337" s="302"/>
      <c r="BF337" s="302"/>
      <c r="BG337" s="302"/>
      <c r="BH337" s="302"/>
      <c r="BI337" s="302"/>
      <c r="BJ337" s="302"/>
      <c r="BK337" s="302"/>
      <c r="BL337" s="302"/>
      <c r="BM337" s="302"/>
      <c r="BN337" s="302"/>
      <c r="BO337" s="302"/>
      <c r="BP337" s="302"/>
      <c r="BQ337" s="302"/>
      <c r="BR337" s="302"/>
      <c r="BS337" s="302"/>
      <c r="BT337" s="302"/>
      <c r="BU337" s="302"/>
    </row>
    <row r="338" spans="1:73">
      <c r="A338" s="302"/>
      <c r="B338" s="302"/>
      <c r="C338" s="302"/>
      <c r="D338" s="302"/>
      <c r="E338" s="302"/>
      <c r="F338" s="302"/>
      <c r="G338" s="302"/>
      <c r="H338" s="302"/>
      <c r="I338" s="302"/>
      <c r="J338" s="302"/>
      <c r="K338" s="302"/>
      <c r="L338" s="302"/>
      <c r="M338" s="302"/>
      <c r="N338" s="302"/>
      <c r="O338" s="302"/>
      <c r="P338" s="302"/>
      <c r="Q338" s="302"/>
      <c r="R338" s="302"/>
      <c r="S338" s="302"/>
      <c r="T338" s="302"/>
      <c r="U338" s="302"/>
      <c r="V338" s="302"/>
      <c r="W338" s="302"/>
      <c r="X338" s="302"/>
      <c r="Y338" s="302"/>
      <c r="Z338" s="302"/>
      <c r="AA338" s="302"/>
      <c r="AB338" s="302"/>
      <c r="AC338" s="302"/>
      <c r="AD338" s="302"/>
      <c r="AE338" s="302"/>
      <c r="AF338" s="302"/>
      <c r="AG338" s="302"/>
      <c r="AH338" s="302"/>
      <c r="AI338" s="302"/>
      <c r="AJ338" s="302"/>
      <c r="AK338" s="302"/>
      <c r="AL338" s="302"/>
      <c r="AM338" s="302"/>
      <c r="AN338" s="302"/>
      <c r="AO338" s="302"/>
      <c r="AP338" s="302"/>
      <c r="AQ338" s="302"/>
      <c r="AR338" s="302"/>
      <c r="AS338" s="302"/>
      <c r="AT338" s="302"/>
      <c r="AU338" s="302"/>
      <c r="AV338" s="302"/>
      <c r="AW338" s="302"/>
      <c r="AX338" s="302"/>
      <c r="AY338" s="302"/>
      <c r="AZ338" s="302"/>
      <c r="BA338" s="302"/>
      <c r="BB338" s="302"/>
      <c r="BC338" s="302"/>
      <c r="BD338" s="302"/>
      <c r="BE338" s="302"/>
      <c r="BF338" s="302"/>
      <c r="BG338" s="302"/>
      <c r="BH338" s="302"/>
      <c r="BI338" s="302"/>
      <c r="BJ338" s="302"/>
      <c r="BK338" s="302"/>
      <c r="BL338" s="302"/>
      <c r="BM338" s="302"/>
      <c r="BN338" s="302"/>
      <c r="BO338" s="302"/>
      <c r="BP338" s="302"/>
      <c r="BQ338" s="302"/>
      <c r="BR338" s="302"/>
      <c r="BS338" s="302"/>
      <c r="BT338" s="302"/>
      <c r="BU338" s="302"/>
    </row>
    <row r="339" spans="1:73">
      <c r="A339" s="302"/>
      <c r="B339" s="302"/>
      <c r="C339" s="302"/>
      <c r="D339" s="302"/>
      <c r="E339" s="302"/>
      <c r="F339" s="302"/>
      <c r="G339" s="302"/>
      <c r="H339" s="302"/>
      <c r="I339" s="302"/>
      <c r="J339" s="302"/>
      <c r="K339" s="302"/>
      <c r="L339" s="302"/>
      <c r="M339" s="302"/>
      <c r="N339" s="302"/>
      <c r="O339" s="302"/>
      <c r="P339" s="302"/>
      <c r="Q339" s="302"/>
      <c r="R339" s="302"/>
      <c r="S339" s="302"/>
      <c r="T339" s="302"/>
      <c r="U339" s="302"/>
      <c r="V339" s="302"/>
      <c r="W339" s="302"/>
      <c r="X339" s="302"/>
      <c r="Y339" s="302"/>
      <c r="Z339" s="302"/>
      <c r="AA339" s="302"/>
      <c r="AB339" s="302"/>
      <c r="AC339" s="302"/>
      <c r="AD339" s="302"/>
      <c r="AE339" s="302"/>
      <c r="AF339" s="302"/>
      <c r="AG339" s="302"/>
      <c r="AH339" s="302"/>
      <c r="AI339" s="302"/>
      <c r="AJ339" s="302"/>
      <c r="AK339" s="302"/>
      <c r="AL339" s="302"/>
      <c r="AM339" s="302"/>
      <c r="AN339" s="302"/>
      <c r="AO339" s="302"/>
      <c r="AP339" s="302"/>
      <c r="AQ339" s="302"/>
      <c r="AR339" s="302"/>
      <c r="AS339" s="302"/>
      <c r="AT339" s="302"/>
      <c r="AU339" s="302"/>
      <c r="AV339" s="302"/>
      <c r="AW339" s="302"/>
      <c r="AX339" s="302"/>
      <c r="AY339" s="302"/>
      <c r="AZ339" s="302"/>
      <c r="BA339" s="302"/>
      <c r="BB339" s="302"/>
      <c r="BC339" s="302"/>
      <c r="BD339" s="302"/>
      <c r="BE339" s="302"/>
      <c r="BF339" s="302"/>
      <c r="BG339" s="302"/>
      <c r="BH339" s="302"/>
      <c r="BI339" s="302"/>
      <c r="BJ339" s="302"/>
      <c r="BK339" s="302"/>
      <c r="BL339" s="302"/>
      <c r="BM339" s="302"/>
      <c r="BN339" s="302"/>
      <c r="BO339" s="302"/>
      <c r="BP339" s="302"/>
      <c r="BQ339" s="302"/>
      <c r="BR339" s="302"/>
      <c r="BS339" s="302"/>
      <c r="BT339" s="302"/>
      <c r="BU339" s="302"/>
    </row>
    <row r="341" spans="1:73" ht="14" thickBot="1">
      <c r="D341" s="450" t="s">
        <v>405</v>
      </c>
      <c r="E341" s="450"/>
      <c r="F341" s="450"/>
      <c r="G341" s="450"/>
      <c r="H341" s="450"/>
      <c r="I341" s="450"/>
      <c r="J341" s="450"/>
      <c r="K341" s="450"/>
      <c r="L341" s="450"/>
      <c r="M341" s="450"/>
      <c r="N341" s="450"/>
      <c r="O341" s="450"/>
      <c r="P341" s="450"/>
      <c r="Q341" s="450"/>
      <c r="R341" s="450"/>
      <c r="S341" s="450"/>
      <c r="T341" s="450"/>
      <c r="U341" s="450"/>
    </row>
    <row r="342" spans="1:73" ht="14" thickBot="1">
      <c r="D342" s="450"/>
      <c r="E342" s="450"/>
      <c r="F342" s="450"/>
      <c r="G342" s="450"/>
      <c r="H342" s="450"/>
      <c r="I342" s="450"/>
      <c r="J342" s="450"/>
      <c r="K342" s="450"/>
      <c r="L342" s="450"/>
      <c r="M342" s="450" t="s">
        <v>406</v>
      </c>
      <c r="N342" s="450"/>
      <c r="O342" s="450"/>
      <c r="P342" s="450"/>
      <c r="Q342" s="1183" t="s">
        <v>407</v>
      </c>
      <c r="R342" s="1184"/>
      <c r="S342" s="1184"/>
      <c r="T342" s="1184"/>
      <c r="U342" s="1185"/>
    </row>
    <row r="343" spans="1:73" ht="14" thickBot="1">
      <c r="D343" s="450" t="s">
        <v>408</v>
      </c>
      <c r="E343" s="450"/>
      <c r="F343" s="450" t="s">
        <v>409</v>
      </c>
      <c r="G343" s="450"/>
      <c r="H343" s="450" t="s">
        <v>410</v>
      </c>
      <c r="I343" s="450"/>
      <c r="J343" s="450"/>
      <c r="K343" s="450" t="s">
        <v>411</v>
      </c>
      <c r="L343" s="450"/>
      <c r="M343" s="450" t="s">
        <v>412</v>
      </c>
      <c r="N343" s="450"/>
      <c r="O343" s="450" t="s">
        <v>413</v>
      </c>
      <c r="P343" s="450"/>
      <c r="Q343" s="513" t="s">
        <v>414</v>
      </c>
      <c r="R343" s="514"/>
      <c r="S343" s="514" t="s">
        <v>38</v>
      </c>
      <c r="T343" s="514"/>
      <c r="U343" s="515" t="s">
        <v>413</v>
      </c>
    </row>
    <row r="345" spans="1:73">
      <c r="C345" s="306">
        <v>1</v>
      </c>
      <c r="D345" s="306" t="s">
        <v>415</v>
      </c>
      <c r="F345" s="306" t="s">
        <v>416</v>
      </c>
      <c r="H345" s="306">
        <v>39118</v>
      </c>
      <c r="K345" s="306">
        <v>149</v>
      </c>
      <c r="M345" s="306">
        <v>696</v>
      </c>
      <c r="O345" s="306">
        <v>9.3849999999999998</v>
      </c>
      <c r="Q345" s="306">
        <f>ROUND($H345/K345,)</f>
        <v>263</v>
      </c>
      <c r="S345" s="306">
        <f>ROUND($H345/M345,)</f>
        <v>56</v>
      </c>
      <c r="U345" s="306">
        <f>ROUND($H345/O345,)</f>
        <v>4168</v>
      </c>
    </row>
    <row r="347" spans="1:73">
      <c r="C347" s="306">
        <v>2</v>
      </c>
      <c r="D347" s="306" t="s">
        <v>417</v>
      </c>
      <c r="F347" s="306" t="s">
        <v>418</v>
      </c>
      <c r="H347" s="306">
        <v>39500</v>
      </c>
      <c r="K347" s="306">
        <v>30</v>
      </c>
      <c r="M347" s="306">
        <v>173</v>
      </c>
      <c r="O347" s="306">
        <v>2.75</v>
      </c>
      <c r="Q347" s="306">
        <f>ROUND($H347/K347,)</f>
        <v>1317</v>
      </c>
      <c r="S347" s="306">
        <f>ROUND($H347/M347,)</f>
        <v>228</v>
      </c>
      <c r="U347" s="306">
        <f>ROUND($H347/O347,)</f>
        <v>14364</v>
      </c>
    </row>
    <row r="349" spans="1:73">
      <c r="C349" s="306">
        <v>3</v>
      </c>
      <c r="D349" s="306" t="s">
        <v>419</v>
      </c>
      <c r="F349" s="306" t="s">
        <v>416</v>
      </c>
      <c r="H349" s="306">
        <v>34171</v>
      </c>
      <c r="K349" s="306">
        <v>114</v>
      </c>
      <c r="M349" s="306">
        <v>527</v>
      </c>
      <c r="O349" s="306">
        <v>7.22</v>
      </c>
      <c r="Q349" s="306">
        <f>ROUND($H349/K349,)</f>
        <v>300</v>
      </c>
      <c r="S349" s="306">
        <f>ROUND($H349/M349,)</f>
        <v>65</v>
      </c>
      <c r="U349" s="306">
        <f>ROUND($H349/O349,)</f>
        <v>4733</v>
      </c>
    </row>
    <row r="351" spans="1:73">
      <c r="C351" s="306">
        <v>4</v>
      </c>
      <c r="D351" s="306" t="s">
        <v>420</v>
      </c>
      <c r="F351" s="306" t="s">
        <v>416</v>
      </c>
      <c r="H351" s="306">
        <v>84387</v>
      </c>
      <c r="K351" s="306">
        <v>113</v>
      </c>
      <c r="M351" s="306">
        <v>701</v>
      </c>
      <c r="O351" s="306">
        <v>7.3949999999999996</v>
      </c>
      <c r="Q351" s="306">
        <f>ROUND($H351/K351,)</f>
        <v>747</v>
      </c>
      <c r="S351" s="306">
        <f>ROUND($H351/M351,)</f>
        <v>120</v>
      </c>
      <c r="U351" s="306">
        <f>ROUND($H351/O351,)</f>
        <v>11411</v>
      </c>
    </row>
    <row r="353" spans="3:28">
      <c r="C353" s="306">
        <v>5</v>
      </c>
      <c r="D353" s="306" t="s">
        <v>421</v>
      </c>
      <c r="F353" s="306" t="s">
        <v>416</v>
      </c>
      <c r="H353" s="306">
        <v>83225</v>
      </c>
      <c r="K353" s="306">
        <v>94</v>
      </c>
      <c r="M353" s="306">
        <v>626</v>
      </c>
      <c r="O353" s="306">
        <v>6.52</v>
      </c>
      <c r="Q353" s="306">
        <f>ROUND($H353/K353,)</f>
        <v>885</v>
      </c>
      <c r="S353" s="306">
        <f>ROUND($H353/M353,)</f>
        <v>133</v>
      </c>
      <c r="U353" s="306">
        <f>ROUND($H353/O353,)</f>
        <v>12765</v>
      </c>
    </row>
    <row r="355" spans="3:28">
      <c r="C355" s="306">
        <v>6</v>
      </c>
      <c r="D355" s="306" t="s">
        <v>422</v>
      </c>
      <c r="F355" s="306" t="s">
        <v>416</v>
      </c>
      <c r="H355" s="306">
        <v>173160</v>
      </c>
      <c r="K355" s="306">
        <v>129</v>
      </c>
      <c r="M355" s="306">
        <v>926</v>
      </c>
      <c r="O355" s="306">
        <v>9.0500000000000007</v>
      </c>
      <c r="Q355" s="306">
        <f>ROUND($H355/K355,)</f>
        <v>1342</v>
      </c>
      <c r="S355" s="306">
        <f>ROUND($H355/M355,)</f>
        <v>187</v>
      </c>
      <c r="U355" s="306">
        <f>ROUND($H355/O355,)</f>
        <v>19134</v>
      </c>
    </row>
    <row r="357" spans="3:28">
      <c r="C357" s="306">
        <v>7</v>
      </c>
      <c r="D357" s="306" t="s">
        <v>423</v>
      </c>
      <c r="F357" s="306" t="s">
        <v>416</v>
      </c>
      <c r="H357" s="306">
        <v>12115</v>
      </c>
      <c r="K357" s="306">
        <v>36</v>
      </c>
      <c r="M357" s="306">
        <v>165</v>
      </c>
      <c r="O357" s="306">
        <v>2.08</v>
      </c>
      <c r="Q357" s="306">
        <f>ROUND($H357/K357,)</f>
        <v>337</v>
      </c>
      <c r="S357" s="306">
        <f>ROUND($H357/M357,)</f>
        <v>73</v>
      </c>
      <c r="U357" s="306">
        <f>ROUND($H357/O357,)</f>
        <v>5825</v>
      </c>
    </row>
    <row r="359" spans="3:28">
      <c r="C359" s="306">
        <v>8</v>
      </c>
      <c r="D359" s="306" t="s">
        <v>424</v>
      </c>
      <c r="F359" s="306" t="s">
        <v>416</v>
      </c>
      <c r="H359" s="306">
        <v>221816</v>
      </c>
      <c r="K359" s="306">
        <v>91</v>
      </c>
      <c r="M359" s="306">
        <v>596</v>
      </c>
      <c r="O359" s="306">
        <v>7.17</v>
      </c>
      <c r="Q359" s="306">
        <f>ROUND($H359/K359,)</f>
        <v>2438</v>
      </c>
      <c r="S359" s="306">
        <f>ROUND($H359/M359,)</f>
        <v>372</v>
      </c>
      <c r="U359" s="306">
        <f>ROUND($H359/O359,)</f>
        <v>30937</v>
      </c>
    </row>
    <row r="361" spans="3:28">
      <c r="C361" s="306">
        <v>9</v>
      </c>
      <c r="D361" s="306" t="s">
        <v>425</v>
      </c>
      <c r="F361" s="306" t="s">
        <v>189</v>
      </c>
      <c r="H361" s="306">
        <v>398817</v>
      </c>
      <c r="K361" s="306">
        <v>104</v>
      </c>
      <c r="M361" s="306">
        <v>644</v>
      </c>
      <c r="O361" s="306">
        <v>7.59</v>
      </c>
      <c r="Q361" s="306">
        <f>ROUND($H361/K361,)</f>
        <v>3835</v>
      </c>
      <c r="S361" s="306">
        <f>ROUND($H361/M361,)</f>
        <v>619</v>
      </c>
      <c r="U361" s="306">
        <f>ROUND($H361/O361,)</f>
        <v>52545</v>
      </c>
    </row>
    <row r="363" spans="3:28">
      <c r="C363" s="306">
        <v>10</v>
      </c>
      <c r="D363" s="306" t="s">
        <v>426</v>
      </c>
      <c r="F363" s="306" t="s">
        <v>416</v>
      </c>
      <c r="H363" s="306">
        <v>116795</v>
      </c>
      <c r="K363" s="306">
        <v>175</v>
      </c>
      <c r="M363" s="306">
        <v>990</v>
      </c>
      <c r="O363" s="306">
        <v>10.37</v>
      </c>
      <c r="Q363" s="306">
        <f>ROUND($H363/K363,)</f>
        <v>667</v>
      </c>
      <c r="S363" s="306">
        <f>ROUND($H363/M363,)</f>
        <v>118</v>
      </c>
      <c r="U363" s="306">
        <f>ROUND($H363/O363,)</f>
        <v>11263</v>
      </c>
    </row>
    <row r="364" spans="3:28" ht="14" thickBot="1"/>
    <row r="365" spans="3:28" ht="14" thickBot="1">
      <c r="C365" s="306">
        <v>11</v>
      </c>
      <c r="D365" s="306" t="s">
        <v>427</v>
      </c>
      <c r="F365" s="306" t="s">
        <v>418</v>
      </c>
      <c r="H365" s="306">
        <v>156609</v>
      </c>
      <c r="K365" s="306">
        <v>84</v>
      </c>
      <c r="M365" s="306">
        <v>651</v>
      </c>
      <c r="O365" s="306">
        <v>5.36</v>
      </c>
      <c r="Q365" s="306">
        <f>ROUND($H365/K365,)</f>
        <v>1864</v>
      </c>
      <c r="S365" s="306">
        <f>ROUND($H365/M365,)</f>
        <v>241</v>
      </c>
      <c r="U365" s="306">
        <f>ROUND($H365/O365,)</f>
        <v>29218</v>
      </c>
      <c r="W365" s="1183" t="s">
        <v>407</v>
      </c>
      <c r="X365" s="1184"/>
      <c r="Y365" s="1184"/>
      <c r="Z365" s="1184"/>
      <c r="AA365" s="1185"/>
    </row>
    <row r="366" spans="3:28" ht="14" thickBot="1">
      <c r="W366" s="513" t="s">
        <v>414</v>
      </c>
      <c r="X366" s="514"/>
      <c r="Y366" s="514" t="s">
        <v>38</v>
      </c>
      <c r="Z366" s="514"/>
      <c r="AA366" s="515" t="s">
        <v>413</v>
      </c>
    </row>
    <row r="367" spans="3:28">
      <c r="C367" s="450" t="s">
        <v>58</v>
      </c>
      <c r="D367" s="450"/>
      <c r="E367" s="450"/>
      <c r="F367" s="450"/>
      <c r="G367" s="450"/>
      <c r="H367" s="450"/>
      <c r="I367" s="450"/>
      <c r="J367" s="450"/>
      <c r="K367" s="450"/>
      <c r="L367" s="450"/>
      <c r="M367" s="450"/>
      <c r="N367" s="450"/>
      <c r="O367" s="450"/>
      <c r="P367" s="450"/>
      <c r="Q367" s="516">
        <f>AVERAGE(Q345:Q366)</f>
        <v>1272.2727272727273</v>
      </c>
      <c r="R367" s="450"/>
      <c r="S367" s="516">
        <f>AVERAGE(S345:S366)</f>
        <v>201.09090909090909</v>
      </c>
      <c r="T367" s="450"/>
      <c r="U367" s="516">
        <f>AVERAGE(U345:U366)</f>
        <v>17851.18181818182</v>
      </c>
      <c r="W367" s="517">
        <f>(Q345+Q349+Q351+Q353+Q355+Q357+Q359+Q363)/8</f>
        <v>872.375</v>
      </c>
      <c r="X367" s="517">
        <f>(Q347+Q361+Q365)/3</f>
        <v>2338.6666666666665</v>
      </c>
      <c r="Y367" s="517">
        <f>(S345+S349+S351+S353+S355+S357+S359+S363)/8</f>
        <v>140.5</v>
      </c>
      <c r="Z367" s="517">
        <f>(S347+S361+S365)/3</f>
        <v>362.66666666666669</v>
      </c>
      <c r="AA367" s="517">
        <f>(U345+U349+U351+U353+U355+U357+U359+U363)/8</f>
        <v>12529.5</v>
      </c>
      <c r="AB367" s="517">
        <f>(U347+U361+U365)/3</f>
        <v>32042.333333333332</v>
      </c>
    </row>
    <row r="368" spans="3:28">
      <c r="W368" s="306" t="s">
        <v>416</v>
      </c>
      <c r="X368" s="306" t="s">
        <v>189</v>
      </c>
      <c r="Y368" s="306" t="s">
        <v>416</v>
      </c>
      <c r="Z368" s="306" t="s">
        <v>189</v>
      </c>
      <c r="AA368" s="306" t="s">
        <v>416</v>
      </c>
      <c r="AB368" s="306" t="s">
        <v>189</v>
      </c>
    </row>
    <row r="370" spans="1:8">
      <c r="F370" s="306" t="s">
        <v>428</v>
      </c>
    </row>
    <row r="377" spans="1:8">
      <c r="A377" s="450" t="s">
        <v>429</v>
      </c>
    </row>
    <row r="380" spans="1:8">
      <c r="B380" s="306" t="s">
        <v>38</v>
      </c>
      <c r="F380" s="306">
        <v>100</v>
      </c>
    </row>
    <row r="381" spans="1:8">
      <c r="B381" s="306" t="s">
        <v>430</v>
      </c>
      <c r="E381" s="518" t="s">
        <v>431</v>
      </c>
      <c r="F381" s="306">
        <f>ROUNDUP(F380/20,0)</f>
        <v>5</v>
      </c>
      <c r="G381" s="306">
        <v>550</v>
      </c>
      <c r="H381" s="306">
        <f>F381*G381</f>
        <v>2750</v>
      </c>
    </row>
    <row r="382" spans="1:8">
      <c r="B382" s="306" t="s">
        <v>432</v>
      </c>
      <c r="E382" s="518" t="s">
        <v>433</v>
      </c>
      <c r="F382" s="306">
        <f>F381*10</f>
        <v>50</v>
      </c>
      <c r="G382" s="306">
        <v>35</v>
      </c>
      <c r="H382" s="306">
        <f>F382*G382</f>
        <v>1750</v>
      </c>
    </row>
    <row r="383" spans="1:8">
      <c r="B383" s="306" t="s">
        <v>434</v>
      </c>
      <c r="E383" s="518" t="s">
        <v>435</v>
      </c>
      <c r="F383" s="306">
        <f>ROUNDUP(F380/10,0)</f>
        <v>10</v>
      </c>
      <c r="G383" s="306">
        <v>675</v>
      </c>
      <c r="H383" s="306">
        <f>F383*G383</f>
        <v>6750</v>
      </c>
    </row>
    <row r="384" spans="1:8">
      <c r="B384" s="306" t="s">
        <v>436</v>
      </c>
      <c r="H384" s="306">
        <f>O113</f>
        <v>132217</v>
      </c>
    </row>
    <row r="386" spans="1:8">
      <c r="H386" s="306">
        <f>SUM(H380:H385)</f>
        <v>143467</v>
      </c>
    </row>
    <row r="389" spans="1:8">
      <c r="A389" s="450" t="s">
        <v>437</v>
      </c>
    </row>
    <row r="390" spans="1:8">
      <c r="A390" s="306" t="s">
        <v>438</v>
      </c>
      <c r="H390" s="519"/>
    </row>
    <row r="391" spans="1:8">
      <c r="H391" s="519"/>
    </row>
    <row r="392" spans="1:8">
      <c r="A392" s="520" t="s">
        <v>439</v>
      </c>
      <c r="B392" s="520"/>
      <c r="C392" s="520"/>
      <c r="D392" s="520">
        <f>60*20*1</f>
        <v>1200</v>
      </c>
      <c r="E392" s="520" t="s">
        <v>18</v>
      </c>
      <c r="H392" s="519"/>
    </row>
    <row r="393" spans="1:8">
      <c r="H393" s="519"/>
    </row>
    <row r="394" spans="1:8">
      <c r="A394" s="306" t="s">
        <v>440</v>
      </c>
      <c r="D394" s="306">
        <f>ROUND((60+2)*(20+2)*(1+1+0.3),0)</f>
        <v>3137</v>
      </c>
      <c r="E394" s="306" t="s">
        <v>18</v>
      </c>
      <c r="F394" s="306">
        <v>8</v>
      </c>
      <c r="H394" s="519">
        <f>D394*F394</f>
        <v>25096</v>
      </c>
    </row>
    <row r="395" spans="1:8">
      <c r="H395" s="519"/>
    </row>
    <row r="396" spans="1:8">
      <c r="A396" s="306" t="s">
        <v>441</v>
      </c>
      <c r="D396" s="306">
        <f>60*20+D398+D416</f>
        <v>1992</v>
      </c>
      <c r="E396" s="306" t="s">
        <v>18</v>
      </c>
      <c r="F396" s="306">
        <v>5</v>
      </c>
      <c r="H396" s="519">
        <f>D396*F396</f>
        <v>9960</v>
      </c>
    </row>
    <row r="397" spans="1:8">
      <c r="H397" s="519"/>
    </row>
    <row r="398" spans="1:8">
      <c r="A398" s="306" t="s">
        <v>442</v>
      </c>
      <c r="D398" s="306">
        <f>ROUND(((60+1)*(20+1))*0.3,0)</f>
        <v>384</v>
      </c>
      <c r="E398" s="306" t="s">
        <v>18</v>
      </c>
      <c r="F398" s="306">
        <v>45</v>
      </c>
      <c r="H398" s="519">
        <f>D398*F398</f>
        <v>17280</v>
      </c>
    </row>
    <row r="399" spans="1:8">
      <c r="H399" s="519"/>
    </row>
    <row r="400" spans="1:8">
      <c r="A400" s="306" t="s">
        <v>443</v>
      </c>
      <c r="D400" s="306">
        <f>(60+1)*(20+1)</f>
        <v>1281</v>
      </c>
      <c r="E400" s="306" t="s">
        <v>39</v>
      </c>
      <c r="F400" s="306">
        <v>1</v>
      </c>
      <c r="H400" s="519">
        <f>D400*F400</f>
        <v>1281</v>
      </c>
    </row>
    <row r="401" spans="1:8">
      <c r="H401" s="519"/>
    </row>
    <row r="402" spans="1:8">
      <c r="A402" s="306" t="s">
        <v>444</v>
      </c>
      <c r="D402" s="306">
        <f>D392</f>
        <v>1200</v>
      </c>
      <c r="E402" s="306" t="s">
        <v>18</v>
      </c>
      <c r="F402" s="306">
        <v>100</v>
      </c>
      <c r="H402" s="519">
        <f>D402*F402</f>
        <v>120000</v>
      </c>
    </row>
    <row r="403" spans="1:8">
      <c r="H403" s="519"/>
    </row>
    <row r="404" spans="1:8">
      <c r="A404" s="306" t="s">
        <v>445</v>
      </c>
      <c r="D404" s="306">
        <f>D402</f>
        <v>1200</v>
      </c>
      <c r="E404" s="306" t="str">
        <f>E402</f>
        <v>m3</v>
      </c>
      <c r="F404" s="306">
        <v>10</v>
      </c>
      <c r="H404" s="519">
        <f>D404*F404</f>
        <v>12000</v>
      </c>
    </row>
    <row r="405" spans="1:8">
      <c r="H405" s="519"/>
    </row>
    <row r="406" spans="1:8">
      <c r="A406" s="306" t="s">
        <v>446</v>
      </c>
      <c r="D406" s="306">
        <f>(61*21*2)+(60*1*2)+(20*1*2)</f>
        <v>2722</v>
      </c>
      <c r="E406" s="306" t="s">
        <v>39</v>
      </c>
      <c r="F406" s="306">
        <v>3</v>
      </c>
      <c r="H406" s="519">
        <f>D406*F406</f>
        <v>8166</v>
      </c>
    </row>
    <row r="407" spans="1:8">
      <c r="H407" s="519"/>
    </row>
    <row r="408" spans="1:8">
      <c r="A408" s="306" t="s">
        <v>447</v>
      </c>
      <c r="D408" s="306">
        <f>(20/1.2*60*2)+(60*2)+(20*2)</f>
        <v>2160</v>
      </c>
      <c r="E408" s="306" t="s">
        <v>4</v>
      </c>
      <c r="F408" s="306">
        <v>2</v>
      </c>
      <c r="H408" s="519">
        <f>D408*F408</f>
        <v>4320</v>
      </c>
    </row>
    <row r="409" spans="1:8">
      <c r="H409" s="519"/>
    </row>
    <row r="410" spans="1:8">
      <c r="A410" s="306" t="s">
        <v>448</v>
      </c>
      <c r="D410" s="306">
        <v>1</v>
      </c>
      <c r="E410" s="306" t="s">
        <v>449</v>
      </c>
      <c r="F410" s="306">
        <v>2500</v>
      </c>
      <c r="H410" s="519">
        <f>D410*F410</f>
        <v>2500</v>
      </c>
    </row>
    <row r="411" spans="1:8">
      <c r="H411" s="519"/>
    </row>
    <row r="412" spans="1:8">
      <c r="A412" s="306" t="s">
        <v>450</v>
      </c>
      <c r="D412" s="306">
        <f>70*3</f>
        <v>210</v>
      </c>
      <c r="E412" s="306" t="s">
        <v>4</v>
      </c>
      <c r="F412" s="306">
        <v>40</v>
      </c>
      <c r="H412" s="519">
        <f>D412*F412</f>
        <v>8400</v>
      </c>
    </row>
    <row r="413" spans="1:8">
      <c r="H413" s="519"/>
    </row>
    <row r="414" spans="1:8">
      <c r="A414" s="306" t="s">
        <v>451</v>
      </c>
      <c r="D414" s="306">
        <f>60*3</f>
        <v>180</v>
      </c>
      <c r="E414" s="306" t="s">
        <v>4</v>
      </c>
      <c r="F414" s="306">
        <v>25</v>
      </c>
      <c r="H414" s="519">
        <f>D414*F414</f>
        <v>4500</v>
      </c>
    </row>
    <row r="415" spans="1:8">
      <c r="H415" s="519"/>
    </row>
    <row r="416" spans="1:8">
      <c r="A416" s="306" t="s">
        <v>452</v>
      </c>
      <c r="D416" s="306">
        <f>((60*20)+(60*1*2)+(20*1*2))*0.3</f>
        <v>408</v>
      </c>
      <c r="E416" s="306" t="s">
        <v>18</v>
      </c>
      <c r="F416" s="306">
        <v>45</v>
      </c>
      <c r="H416" s="519">
        <f>D416*F416</f>
        <v>18360</v>
      </c>
    </row>
    <row r="417" spans="1:11">
      <c r="H417" s="519"/>
    </row>
    <row r="418" spans="1:11">
      <c r="A418" s="306" t="s">
        <v>453</v>
      </c>
      <c r="D418" s="306">
        <f>D394-D396</f>
        <v>1145</v>
      </c>
      <c r="E418" s="306" t="s">
        <v>18</v>
      </c>
      <c r="F418" s="306">
        <v>5</v>
      </c>
      <c r="H418" s="519">
        <f>D418*F418</f>
        <v>5725</v>
      </c>
    </row>
    <row r="419" spans="1:11">
      <c r="H419" s="519"/>
    </row>
    <row r="420" spans="1:11">
      <c r="H420" s="519">
        <f>SUM(H394:H419)</f>
        <v>237588</v>
      </c>
    </row>
    <row r="421" spans="1:11">
      <c r="H421" s="519"/>
    </row>
    <row r="422" spans="1:11">
      <c r="G422" s="520" t="s">
        <v>454</v>
      </c>
      <c r="H422" s="521">
        <f>ROUND(H420,-3)</f>
        <v>238000</v>
      </c>
      <c r="J422" s="519">
        <f>H422/D392</f>
        <v>198.33333333333334</v>
      </c>
      <c r="K422" s="306" t="s">
        <v>455</v>
      </c>
    </row>
    <row r="425" spans="1:11">
      <c r="A425" s="520" t="s">
        <v>456</v>
      </c>
      <c r="B425" s="520"/>
      <c r="C425" s="520"/>
      <c r="D425" s="520">
        <f>40*25*1</f>
        <v>1000</v>
      </c>
      <c r="E425" s="520" t="s">
        <v>18</v>
      </c>
      <c r="H425" s="519"/>
    </row>
    <row r="426" spans="1:11">
      <c r="H426" s="519"/>
    </row>
    <row r="427" spans="1:11">
      <c r="A427" s="306" t="s">
        <v>440</v>
      </c>
      <c r="D427" s="306">
        <f>ROUND((40+2)*(25+2)*(1+1+0.3),0)</f>
        <v>2608</v>
      </c>
      <c r="E427" s="306" t="s">
        <v>18</v>
      </c>
      <c r="F427" s="306">
        <v>8</v>
      </c>
      <c r="H427" s="519">
        <f>D427*F427</f>
        <v>20864</v>
      </c>
    </row>
    <row r="428" spans="1:11">
      <c r="H428" s="519"/>
    </row>
    <row r="429" spans="1:11">
      <c r="A429" s="306" t="s">
        <v>441</v>
      </c>
      <c r="D429" s="306">
        <f>40*25+D431+D449</f>
        <v>1659</v>
      </c>
      <c r="E429" s="306" t="s">
        <v>18</v>
      </c>
      <c r="F429" s="306">
        <v>5</v>
      </c>
      <c r="H429" s="519">
        <f>D429*F429</f>
        <v>8295</v>
      </c>
    </row>
    <row r="430" spans="1:11">
      <c r="H430" s="519"/>
    </row>
    <row r="431" spans="1:11">
      <c r="A431" s="306" t="s">
        <v>442</v>
      </c>
      <c r="D431" s="306">
        <f>ROUND(((40+1)*(25+1))*0.3,0)</f>
        <v>320</v>
      </c>
      <c r="E431" s="306" t="s">
        <v>18</v>
      </c>
      <c r="F431" s="306">
        <v>45</v>
      </c>
      <c r="H431" s="519">
        <f>D431*F431</f>
        <v>14400</v>
      </c>
    </row>
    <row r="432" spans="1:11">
      <c r="H432" s="519"/>
    </row>
    <row r="433" spans="1:8">
      <c r="A433" s="306" t="s">
        <v>443</v>
      </c>
      <c r="D433" s="306">
        <f>(40+1)*(25+1)</f>
        <v>1066</v>
      </c>
      <c r="E433" s="306" t="s">
        <v>39</v>
      </c>
      <c r="F433" s="306">
        <v>1</v>
      </c>
      <c r="H433" s="519">
        <f>D433*F433</f>
        <v>1066</v>
      </c>
    </row>
    <row r="434" spans="1:8">
      <c r="H434" s="519"/>
    </row>
    <row r="435" spans="1:8">
      <c r="A435" s="306" t="s">
        <v>444</v>
      </c>
      <c r="D435" s="306">
        <f>D425</f>
        <v>1000</v>
      </c>
      <c r="E435" s="306" t="s">
        <v>18</v>
      </c>
      <c r="F435" s="306">
        <v>100</v>
      </c>
      <c r="H435" s="519">
        <f>D435*F435</f>
        <v>100000</v>
      </c>
    </row>
    <row r="436" spans="1:8">
      <c r="H436" s="519"/>
    </row>
    <row r="437" spans="1:8">
      <c r="A437" s="306" t="s">
        <v>445</v>
      </c>
      <c r="D437" s="306">
        <f>D435</f>
        <v>1000</v>
      </c>
      <c r="E437" s="306" t="str">
        <f>E435</f>
        <v>m3</v>
      </c>
      <c r="F437" s="306">
        <v>10</v>
      </c>
      <c r="H437" s="519">
        <f>D437*F437</f>
        <v>10000</v>
      </c>
    </row>
    <row r="438" spans="1:8">
      <c r="H438" s="519"/>
    </row>
    <row r="439" spans="1:8">
      <c r="A439" s="306" t="s">
        <v>446</v>
      </c>
      <c r="D439" s="306">
        <f>(41*26*2)+(40*1*2)+(25*1*2)</f>
        <v>2262</v>
      </c>
      <c r="E439" s="306" t="s">
        <v>39</v>
      </c>
      <c r="F439" s="306">
        <v>3</v>
      </c>
      <c r="H439" s="519">
        <f>D439*F439</f>
        <v>6786</v>
      </c>
    </row>
    <row r="440" spans="1:8">
      <c r="H440" s="519"/>
    </row>
    <row r="441" spans="1:8">
      <c r="A441" s="306" t="s">
        <v>447</v>
      </c>
      <c r="D441" s="306">
        <f>ROUND((25/1.2*40*2)+(40*2)+(25*2),0)</f>
        <v>1797</v>
      </c>
      <c r="E441" s="306" t="s">
        <v>4</v>
      </c>
      <c r="F441" s="306">
        <v>2</v>
      </c>
      <c r="H441" s="519">
        <f>D441*F441</f>
        <v>3594</v>
      </c>
    </row>
    <row r="442" spans="1:8">
      <c r="H442" s="519"/>
    </row>
    <row r="443" spans="1:8">
      <c r="A443" s="306" t="s">
        <v>448</v>
      </c>
      <c r="D443" s="306">
        <v>1</v>
      </c>
      <c r="E443" s="306" t="s">
        <v>449</v>
      </c>
      <c r="F443" s="306">
        <v>2500</v>
      </c>
      <c r="H443" s="519">
        <f>D443*F443</f>
        <v>2500</v>
      </c>
    </row>
    <row r="444" spans="1:8">
      <c r="H444" s="519"/>
    </row>
    <row r="445" spans="1:8">
      <c r="A445" s="306" t="s">
        <v>450</v>
      </c>
      <c r="D445" s="306">
        <f>50*3</f>
        <v>150</v>
      </c>
      <c r="E445" s="306" t="s">
        <v>4</v>
      </c>
      <c r="F445" s="306">
        <v>40</v>
      </c>
      <c r="H445" s="519">
        <f>D445*F445</f>
        <v>6000</v>
      </c>
    </row>
    <row r="446" spans="1:8">
      <c r="H446" s="519"/>
    </row>
    <row r="447" spans="1:8">
      <c r="A447" s="306" t="s">
        <v>451</v>
      </c>
      <c r="D447" s="306">
        <f>40*3</f>
        <v>120</v>
      </c>
      <c r="E447" s="306" t="s">
        <v>4</v>
      </c>
      <c r="F447" s="306">
        <v>25</v>
      </c>
      <c r="H447" s="519">
        <f>D447*F447</f>
        <v>3000</v>
      </c>
    </row>
    <row r="448" spans="1:8">
      <c r="H448" s="519"/>
    </row>
    <row r="449" spans="1:11">
      <c r="A449" s="306" t="s">
        <v>452</v>
      </c>
      <c r="D449" s="306">
        <f>((40*25)+(40*1*2)+(25*1*2))*0.3</f>
        <v>339</v>
      </c>
      <c r="E449" s="306" t="s">
        <v>18</v>
      </c>
      <c r="F449" s="306">
        <v>45</v>
      </c>
      <c r="H449" s="519">
        <f>D449*F449</f>
        <v>15255</v>
      </c>
    </row>
    <row r="450" spans="1:11">
      <c r="H450" s="519"/>
    </row>
    <row r="451" spans="1:11">
      <c r="A451" s="306" t="s">
        <v>453</v>
      </c>
      <c r="D451" s="306">
        <f>D427-D429</f>
        <v>949</v>
      </c>
      <c r="E451" s="306" t="s">
        <v>18</v>
      </c>
      <c r="F451" s="306">
        <v>5</v>
      </c>
      <c r="H451" s="519">
        <f>D451*F451</f>
        <v>4745</v>
      </c>
    </row>
    <row r="452" spans="1:11">
      <c r="H452" s="519"/>
    </row>
    <row r="453" spans="1:11">
      <c r="H453" s="519">
        <f>SUM(H427:H452)</f>
        <v>196505</v>
      </c>
    </row>
    <row r="454" spans="1:11">
      <c r="H454" s="519"/>
    </row>
    <row r="455" spans="1:11">
      <c r="G455" s="520" t="s">
        <v>454</v>
      </c>
      <c r="H455" s="521">
        <f>ROUND(H453,-3)</f>
        <v>197000</v>
      </c>
      <c r="J455" s="519">
        <f>H455/D425</f>
        <v>197</v>
      </c>
      <c r="K455" s="306" t="s">
        <v>455</v>
      </c>
    </row>
    <row r="458" spans="1:11">
      <c r="A458" s="520" t="s">
        <v>457</v>
      </c>
      <c r="B458" s="520"/>
      <c r="C458" s="520"/>
      <c r="D458" s="520">
        <f>20*20*1.5</f>
        <v>600</v>
      </c>
      <c r="E458" s="520" t="s">
        <v>18</v>
      </c>
      <c r="H458" s="519"/>
    </row>
    <row r="459" spans="1:11">
      <c r="H459" s="519"/>
    </row>
    <row r="460" spans="1:11">
      <c r="A460" s="306" t="s">
        <v>440</v>
      </c>
      <c r="D460" s="306">
        <f>ROUND((20+2)*(20+2)*(1.5+1+0.3),0)</f>
        <v>1355</v>
      </c>
      <c r="E460" s="306" t="s">
        <v>18</v>
      </c>
      <c r="F460" s="306">
        <v>8</v>
      </c>
      <c r="H460" s="519">
        <f>D460*F460</f>
        <v>10840</v>
      </c>
    </row>
    <row r="461" spans="1:11">
      <c r="H461" s="519"/>
    </row>
    <row r="462" spans="1:11">
      <c r="A462" s="306" t="s">
        <v>441</v>
      </c>
      <c r="D462" s="306">
        <f>20*20*1.5+D464+D482</f>
        <v>888</v>
      </c>
      <c r="E462" s="306" t="s">
        <v>18</v>
      </c>
      <c r="F462" s="306">
        <v>5</v>
      </c>
      <c r="H462" s="519">
        <f>D462*F462</f>
        <v>4440</v>
      </c>
    </row>
    <row r="463" spans="1:11">
      <c r="H463" s="519"/>
    </row>
    <row r="464" spans="1:11">
      <c r="A464" s="306" t="s">
        <v>442</v>
      </c>
      <c r="D464" s="306">
        <f>ROUND(((20+1)*(20+1))*0.3,0)</f>
        <v>132</v>
      </c>
      <c r="E464" s="306" t="s">
        <v>18</v>
      </c>
      <c r="F464" s="306">
        <v>45</v>
      </c>
      <c r="H464" s="519">
        <f>D464*F464</f>
        <v>5940</v>
      </c>
    </row>
    <row r="465" spans="1:8">
      <c r="H465" s="519"/>
    </row>
    <row r="466" spans="1:8">
      <c r="A466" s="306" t="s">
        <v>443</v>
      </c>
      <c r="D466" s="306">
        <f>(20+1)*(20+1)</f>
        <v>441</v>
      </c>
      <c r="E466" s="306" t="s">
        <v>39</v>
      </c>
      <c r="F466" s="306">
        <v>1</v>
      </c>
      <c r="H466" s="519">
        <f>D466*F466</f>
        <v>441</v>
      </c>
    </row>
    <row r="467" spans="1:8">
      <c r="H467" s="519"/>
    </row>
    <row r="468" spans="1:8">
      <c r="A468" s="306" t="s">
        <v>444</v>
      </c>
      <c r="D468" s="306">
        <f>D458</f>
        <v>600</v>
      </c>
      <c r="E468" s="306" t="s">
        <v>18</v>
      </c>
      <c r="F468" s="306">
        <v>100</v>
      </c>
      <c r="H468" s="519">
        <f>D468*F468</f>
        <v>60000</v>
      </c>
    </row>
    <row r="469" spans="1:8">
      <c r="H469" s="519"/>
    </row>
    <row r="470" spans="1:8">
      <c r="A470" s="306" t="s">
        <v>445</v>
      </c>
      <c r="D470" s="306">
        <f>D468</f>
        <v>600</v>
      </c>
      <c r="E470" s="306" t="str">
        <f>E468</f>
        <v>m3</v>
      </c>
      <c r="F470" s="306">
        <v>10</v>
      </c>
      <c r="H470" s="519">
        <f>D470*F470</f>
        <v>6000</v>
      </c>
    </row>
    <row r="471" spans="1:8">
      <c r="H471" s="519"/>
    </row>
    <row r="472" spans="1:8">
      <c r="A472" s="306" t="s">
        <v>446</v>
      </c>
      <c r="D472" s="306">
        <f>(21*22*2)+(20*1.5*2)+(20*1.5*2)</f>
        <v>1044</v>
      </c>
      <c r="E472" s="306" t="s">
        <v>39</v>
      </c>
      <c r="F472" s="306">
        <v>3</v>
      </c>
      <c r="H472" s="519">
        <f>D472*F472</f>
        <v>3132</v>
      </c>
    </row>
    <row r="473" spans="1:8">
      <c r="H473" s="519"/>
    </row>
    <row r="474" spans="1:8">
      <c r="A474" s="306" t="s">
        <v>447</v>
      </c>
      <c r="D474" s="306">
        <f>ROUND((25/1.2*40*2)+(40*2)+(25*2),0)</f>
        <v>1797</v>
      </c>
      <c r="E474" s="306" t="s">
        <v>4</v>
      </c>
      <c r="F474" s="306">
        <v>2</v>
      </c>
      <c r="H474" s="519">
        <f>D474*F474</f>
        <v>3594</v>
      </c>
    </row>
    <row r="475" spans="1:8">
      <c r="H475" s="519"/>
    </row>
    <row r="476" spans="1:8">
      <c r="A476" s="306" t="s">
        <v>448</v>
      </c>
      <c r="D476" s="306">
        <v>1</v>
      </c>
      <c r="E476" s="306" t="s">
        <v>449</v>
      </c>
      <c r="F476" s="306">
        <v>2500</v>
      </c>
      <c r="H476" s="519">
        <f>D476*F476</f>
        <v>2500</v>
      </c>
    </row>
    <row r="477" spans="1:8">
      <c r="H477" s="519"/>
    </row>
    <row r="478" spans="1:8">
      <c r="A478" s="306" t="s">
        <v>450</v>
      </c>
      <c r="D478" s="306">
        <f>30*3</f>
        <v>90</v>
      </c>
      <c r="E478" s="306" t="s">
        <v>4</v>
      </c>
      <c r="F478" s="306">
        <v>40</v>
      </c>
      <c r="H478" s="519">
        <f>D478*F478</f>
        <v>3600</v>
      </c>
    </row>
    <row r="479" spans="1:8">
      <c r="H479" s="519"/>
    </row>
    <row r="480" spans="1:8">
      <c r="A480" s="306" t="s">
        <v>451</v>
      </c>
      <c r="D480" s="306">
        <f>20*3</f>
        <v>60</v>
      </c>
      <c r="E480" s="306" t="s">
        <v>4</v>
      </c>
      <c r="F480" s="306">
        <v>25</v>
      </c>
      <c r="H480" s="519">
        <f>D480*F480</f>
        <v>1500</v>
      </c>
    </row>
    <row r="481" spans="1:11">
      <c r="H481" s="519"/>
    </row>
    <row r="482" spans="1:11">
      <c r="A482" s="306" t="s">
        <v>452</v>
      </c>
      <c r="D482" s="306">
        <f>((20*20)+(20*1.5*2)+(20*1.5*2))*0.3</f>
        <v>156</v>
      </c>
      <c r="E482" s="306" t="s">
        <v>18</v>
      </c>
      <c r="F482" s="306">
        <v>45</v>
      </c>
      <c r="H482" s="519">
        <f>D482*F482</f>
        <v>7020</v>
      </c>
    </row>
    <row r="483" spans="1:11">
      <c r="H483" s="519"/>
    </row>
    <row r="484" spans="1:11">
      <c r="A484" s="306" t="s">
        <v>453</v>
      </c>
      <c r="D484" s="306">
        <f>D460-D462</f>
        <v>467</v>
      </c>
      <c r="E484" s="306" t="s">
        <v>18</v>
      </c>
      <c r="F484" s="306">
        <v>5</v>
      </c>
      <c r="H484" s="519">
        <f>D484*F484</f>
        <v>2335</v>
      </c>
    </row>
    <row r="485" spans="1:11">
      <c r="H485" s="519"/>
    </row>
    <row r="486" spans="1:11">
      <c r="H486" s="519">
        <f>SUM(H460:H485)</f>
        <v>111342</v>
      </c>
    </row>
    <row r="487" spans="1:11">
      <c r="H487" s="519"/>
    </row>
    <row r="488" spans="1:11">
      <c r="G488" s="520" t="s">
        <v>454</v>
      </c>
      <c r="H488" s="521">
        <f>ROUND(H486,-3)</f>
        <v>111000</v>
      </c>
      <c r="J488" s="519">
        <f>H488/D458</f>
        <v>185</v>
      </c>
      <c r="K488" s="306" t="s">
        <v>455</v>
      </c>
    </row>
    <row r="490" spans="1:11">
      <c r="G490" s="518" t="s">
        <v>458</v>
      </c>
      <c r="H490" s="522">
        <f>H488+H455+H422</f>
        <v>546000</v>
      </c>
    </row>
  </sheetData>
  <mergeCells count="17">
    <mergeCell ref="C268:D268"/>
    <mergeCell ref="Q273:AD273"/>
    <mergeCell ref="AG273:AS273"/>
    <mergeCell ref="BG273:BS273"/>
    <mergeCell ref="C1:D1"/>
    <mergeCell ref="J1:K1"/>
    <mergeCell ref="E3:K5"/>
    <mergeCell ref="Q6:AC6"/>
    <mergeCell ref="AH6:AT6"/>
    <mergeCell ref="AU6:BG6"/>
    <mergeCell ref="AF307:AO307"/>
    <mergeCell ref="AP307:AY307"/>
    <mergeCell ref="Q342:U342"/>
    <mergeCell ref="W365:AA365"/>
    <mergeCell ref="BH6:BT6"/>
    <mergeCell ref="AG117:AP117"/>
    <mergeCell ref="AQ117:AZ117"/>
  </mergeCells>
  <pageMargins left="0.75" right="0.75" top="1" bottom="1" header="0.5" footer="0.5"/>
  <pageSetup paperSize="9" scale="25" orientation="portrait" verticalDpi="1200" r:id="rId1"/>
  <headerFooter alignWithMargins="0"/>
  <legacy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CDDD3-3A0C-3E49-A431-760FBA666499}">
  <sheetPr>
    <pageSetUpPr fitToPage="1"/>
  </sheetPr>
  <dimension ref="A1:M348"/>
  <sheetViews>
    <sheetView workbookViewId="0">
      <selection activeCell="F56" sqref="F56"/>
    </sheetView>
  </sheetViews>
  <sheetFormatPr baseColWidth="10" defaultColWidth="8.6640625" defaultRowHeight="13"/>
  <cols>
    <col min="1" max="1" width="24.83203125" style="566" customWidth="1"/>
    <col min="2" max="2" width="16.6640625" style="566" customWidth="1"/>
    <col min="3" max="5" width="14" style="566" customWidth="1"/>
    <col min="6" max="6" width="14" style="567" customWidth="1"/>
    <col min="7" max="7" width="12.5" style="567" customWidth="1"/>
    <col min="8" max="9" width="11.6640625" style="568" customWidth="1"/>
    <col min="10" max="10" width="10.6640625" style="567" customWidth="1"/>
    <col min="11" max="11" width="9.6640625" style="567" customWidth="1"/>
    <col min="12" max="12" width="12" style="566" customWidth="1"/>
    <col min="13" max="13" width="6.6640625" style="566" customWidth="1"/>
    <col min="14" max="16384" width="8.6640625" style="565"/>
  </cols>
  <sheetData>
    <row r="1" spans="1:13">
      <c r="A1" s="617"/>
      <c r="B1" s="614"/>
      <c r="C1" s="1197" t="s">
        <v>599</v>
      </c>
      <c r="D1" s="1197"/>
      <c r="E1" s="643"/>
      <c r="F1" s="615"/>
      <c r="G1" s="615"/>
      <c r="H1" s="642"/>
      <c r="I1" s="616"/>
      <c r="J1" s="615"/>
      <c r="K1" s="615"/>
      <c r="L1" s="641"/>
      <c r="M1" s="565"/>
    </row>
    <row r="2" spans="1:13">
      <c r="A2" s="613"/>
      <c r="C2" s="612">
        <v>43685</v>
      </c>
      <c r="E2" s="640"/>
      <c r="L2" s="639"/>
      <c r="M2" s="565"/>
    </row>
    <row r="3" spans="1:13" ht="16">
      <c r="A3" s="638" t="s">
        <v>43</v>
      </c>
      <c r="B3" s="637" t="s">
        <v>45</v>
      </c>
      <c r="C3" s="584"/>
      <c r="D3" s="584"/>
      <c r="E3" s="581"/>
      <c r="F3" s="581"/>
      <c r="G3" s="582"/>
      <c r="H3" s="582"/>
      <c r="I3" s="581"/>
      <c r="J3" s="581"/>
      <c r="K3" s="584"/>
      <c r="L3" s="583"/>
      <c r="M3" s="565"/>
    </row>
    <row r="4" spans="1:13" s="629" customFormat="1">
      <c r="A4" s="634"/>
      <c r="B4" s="622" t="s">
        <v>47</v>
      </c>
      <c r="C4" s="579"/>
      <c r="D4" s="579"/>
      <c r="E4" s="578"/>
      <c r="F4" s="622" t="s">
        <v>48</v>
      </c>
      <c r="G4" s="636"/>
      <c r="H4" s="636"/>
      <c r="I4" s="578"/>
      <c r="J4" s="635"/>
      <c r="K4" s="622"/>
      <c r="L4" s="578"/>
    </row>
    <row r="5" spans="1:13" s="629" customFormat="1" ht="14">
      <c r="A5" s="634"/>
      <c r="B5" s="631" t="s">
        <v>16</v>
      </c>
      <c r="C5" s="633" t="s">
        <v>56</v>
      </c>
      <c r="D5" s="633" t="s">
        <v>57</v>
      </c>
      <c r="E5" s="630" t="s">
        <v>37</v>
      </c>
      <c r="F5" s="631" t="s">
        <v>16</v>
      </c>
      <c r="G5" s="633" t="s">
        <v>56</v>
      </c>
      <c r="H5" s="633" t="s">
        <v>57</v>
      </c>
      <c r="I5" s="630" t="s">
        <v>37</v>
      </c>
      <c r="J5" s="632" t="s">
        <v>519</v>
      </c>
      <c r="K5" s="631" t="s">
        <v>38</v>
      </c>
      <c r="L5" s="630" t="s">
        <v>59</v>
      </c>
    </row>
    <row r="6" spans="1:13" s="569" customFormat="1">
      <c r="A6" s="628"/>
      <c r="B6" s="570"/>
      <c r="C6" s="572"/>
      <c r="D6" s="572"/>
      <c r="E6" s="596">
        <f t="shared" ref="E6:E37" si="0">C6-D6</f>
        <v>0</v>
      </c>
      <c r="F6" s="570"/>
      <c r="G6" s="572"/>
      <c r="H6" s="572"/>
      <c r="I6" s="596">
        <f t="shared" ref="I6:I37" si="1">G6-H6</f>
        <v>0</v>
      </c>
      <c r="J6" s="597">
        <f t="shared" ref="J6:J37" si="2">CEILING((E6+I6)/2,0.25)</f>
        <v>0</v>
      </c>
      <c r="K6" s="570"/>
      <c r="L6" s="570"/>
    </row>
    <row r="7" spans="1:13" s="569" customFormat="1">
      <c r="A7" s="628" t="s">
        <v>583</v>
      </c>
      <c r="B7" s="570" t="s">
        <v>581</v>
      </c>
      <c r="C7" s="572">
        <v>12</v>
      </c>
      <c r="D7" s="572">
        <v>9.125</v>
      </c>
      <c r="E7" s="596">
        <f t="shared" si="0"/>
        <v>2.875</v>
      </c>
      <c r="F7" s="570" t="s">
        <v>580</v>
      </c>
      <c r="G7" s="572">
        <v>11.9</v>
      </c>
      <c r="H7" s="572">
        <v>9.0050000000000008</v>
      </c>
      <c r="I7" s="596">
        <f t="shared" si="1"/>
        <v>2.8949999999999996</v>
      </c>
      <c r="J7" s="595">
        <f t="shared" si="2"/>
        <v>3</v>
      </c>
      <c r="K7" s="570">
        <v>48</v>
      </c>
      <c r="L7" s="570">
        <v>750</v>
      </c>
    </row>
    <row r="8" spans="1:13" s="569" customFormat="1">
      <c r="A8" s="628"/>
      <c r="B8" s="570" t="s">
        <v>580</v>
      </c>
      <c r="C8" s="572">
        <v>11.9</v>
      </c>
      <c r="D8" s="572">
        <v>9.0050000000000008</v>
      </c>
      <c r="E8" s="596">
        <f t="shared" si="0"/>
        <v>2.8949999999999996</v>
      </c>
      <c r="F8" s="570" t="s">
        <v>579</v>
      </c>
      <c r="G8" s="572">
        <v>11.4</v>
      </c>
      <c r="H8" s="572">
        <v>8.9420000000000002</v>
      </c>
      <c r="I8" s="596">
        <f t="shared" si="1"/>
        <v>2.4580000000000002</v>
      </c>
      <c r="J8" s="595">
        <f t="shared" si="2"/>
        <v>2.75</v>
      </c>
      <c r="K8" s="570">
        <v>25</v>
      </c>
      <c r="L8" s="570">
        <v>750</v>
      </c>
    </row>
    <row r="9" spans="1:13" s="569" customFormat="1">
      <c r="A9" s="628"/>
      <c r="B9" s="570" t="s">
        <v>579</v>
      </c>
      <c r="C9" s="572">
        <v>11.4</v>
      </c>
      <c r="D9" s="572">
        <v>8.9420000000000002</v>
      </c>
      <c r="E9" s="596">
        <f t="shared" si="0"/>
        <v>2.4580000000000002</v>
      </c>
      <c r="F9" s="570" t="s">
        <v>578</v>
      </c>
      <c r="G9" s="572">
        <v>11.3</v>
      </c>
      <c r="H9" s="572">
        <v>8.9079999999999995</v>
      </c>
      <c r="I9" s="596">
        <f t="shared" si="1"/>
        <v>2.3920000000000012</v>
      </c>
      <c r="J9" s="595">
        <f t="shared" si="2"/>
        <v>2.5</v>
      </c>
      <c r="K9" s="570">
        <v>14</v>
      </c>
      <c r="L9" s="570">
        <v>750</v>
      </c>
    </row>
    <row r="10" spans="1:13" s="569" customFormat="1">
      <c r="A10" s="628"/>
      <c r="B10" s="570" t="s">
        <v>578</v>
      </c>
      <c r="C10" s="572">
        <v>11.3</v>
      </c>
      <c r="D10" s="572">
        <v>8.9079999999999995</v>
      </c>
      <c r="E10" s="596">
        <f t="shared" si="0"/>
        <v>2.3920000000000012</v>
      </c>
      <c r="F10" s="570" t="s">
        <v>577</v>
      </c>
      <c r="G10" s="572">
        <v>11.1</v>
      </c>
      <c r="H10" s="572">
        <v>8.8770000000000007</v>
      </c>
      <c r="I10" s="596">
        <f t="shared" si="1"/>
        <v>2.222999999999999</v>
      </c>
      <c r="J10" s="595">
        <f t="shared" si="2"/>
        <v>2.5</v>
      </c>
      <c r="K10" s="570">
        <v>12</v>
      </c>
      <c r="L10" s="570">
        <v>750</v>
      </c>
    </row>
    <row r="11" spans="1:13" s="569" customFormat="1">
      <c r="A11" s="628"/>
      <c r="B11" s="570" t="s">
        <v>577</v>
      </c>
      <c r="C11" s="572">
        <v>11.1</v>
      </c>
      <c r="D11" s="572">
        <v>8.8770000000000007</v>
      </c>
      <c r="E11" s="596">
        <f t="shared" si="0"/>
        <v>2.222999999999999</v>
      </c>
      <c r="F11" s="570" t="s">
        <v>569</v>
      </c>
      <c r="G11" s="572">
        <v>11</v>
      </c>
      <c r="H11" s="572">
        <v>8.8490000000000002</v>
      </c>
      <c r="I11" s="596">
        <f t="shared" si="1"/>
        <v>2.1509999999999998</v>
      </c>
      <c r="J11" s="595">
        <f t="shared" si="2"/>
        <v>2.25</v>
      </c>
      <c r="K11" s="570">
        <v>11</v>
      </c>
      <c r="L11" s="570">
        <v>750</v>
      </c>
    </row>
    <row r="12" spans="1:13" s="569" customFormat="1">
      <c r="A12" s="628"/>
      <c r="B12" s="570" t="s">
        <v>569</v>
      </c>
      <c r="C12" s="572">
        <v>11</v>
      </c>
      <c r="D12" s="572">
        <v>8.8490000000000002</v>
      </c>
      <c r="E12" s="596">
        <f t="shared" si="0"/>
        <v>2.1509999999999998</v>
      </c>
      <c r="F12" s="570" t="s">
        <v>576</v>
      </c>
      <c r="G12" s="572">
        <v>10.8</v>
      </c>
      <c r="H12" s="572">
        <v>8.7789999999999999</v>
      </c>
      <c r="I12" s="596">
        <f t="shared" si="1"/>
        <v>2.0210000000000008</v>
      </c>
      <c r="J12" s="595">
        <f t="shared" si="2"/>
        <v>2.25</v>
      </c>
      <c r="K12" s="570">
        <v>28</v>
      </c>
      <c r="L12" s="570">
        <v>750</v>
      </c>
    </row>
    <row r="13" spans="1:13" s="569" customFormat="1">
      <c r="A13" s="628"/>
      <c r="B13" s="570" t="s">
        <v>576</v>
      </c>
      <c r="C13" s="572">
        <v>10.8</v>
      </c>
      <c r="D13" s="572">
        <v>8.7789999999999999</v>
      </c>
      <c r="E13" s="596">
        <f t="shared" si="0"/>
        <v>2.0210000000000008</v>
      </c>
      <c r="F13" s="570" t="s">
        <v>574</v>
      </c>
      <c r="G13" s="572">
        <v>10.7</v>
      </c>
      <c r="H13" s="572">
        <v>8.5779999999999994</v>
      </c>
      <c r="I13" s="596">
        <f t="shared" si="1"/>
        <v>2.1219999999999999</v>
      </c>
      <c r="J13" s="595">
        <f t="shared" si="2"/>
        <v>2.25</v>
      </c>
      <c r="K13" s="570">
        <v>19</v>
      </c>
      <c r="L13" s="570">
        <v>750</v>
      </c>
    </row>
    <row r="14" spans="1:13" s="569" customFormat="1">
      <c r="A14" s="628"/>
      <c r="B14" s="570"/>
      <c r="C14" s="572"/>
      <c r="D14" s="572"/>
      <c r="E14" s="596">
        <f t="shared" si="0"/>
        <v>0</v>
      </c>
      <c r="F14" s="570"/>
      <c r="G14" s="572"/>
      <c r="H14" s="572"/>
      <c r="I14" s="596">
        <f t="shared" si="1"/>
        <v>0</v>
      </c>
      <c r="J14" s="595">
        <f t="shared" si="2"/>
        <v>0</v>
      </c>
      <c r="K14" s="570"/>
      <c r="L14" s="570"/>
    </row>
    <row r="15" spans="1:13" s="569" customFormat="1">
      <c r="A15" s="628"/>
      <c r="B15" s="570" t="s">
        <v>575</v>
      </c>
      <c r="C15" s="572">
        <v>11</v>
      </c>
      <c r="D15" s="572">
        <v>8.74</v>
      </c>
      <c r="E15" s="596">
        <f t="shared" si="0"/>
        <v>2.2599999999999998</v>
      </c>
      <c r="F15" s="570" t="s">
        <v>574</v>
      </c>
      <c r="G15" s="572">
        <v>10.7</v>
      </c>
      <c r="H15" s="572">
        <v>8.5779999999999994</v>
      </c>
      <c r="I15" s="596">
        <f t="shared" si="1"/>
        <v>2.1219999999999999</v>
      </c>
      <c r="J15" s="595">
        <f t="shared" si="2"/>
        <v>2.25</v>
      </c>
      <c r="K15" s="570">
        <v>65</v>
      </c>
      <c r="L15" s="570">
        <v>900</v>
      </c>
    </row>
    <row r="16" spans="1:13" s="569" customFormat="1">
      <c r="A16" s="628"/>
      <c r="B16" s="570"/>
      <c r="C16" s="572"/>
      <c r="D16" s="572"/>
      <c r="E16" s="596">
        <f t="shared" si="0"/>
        <v>0</v>
      </c>
      <c r="F16" s="570"/>
      <c r="G16" s="572"/>
      <c r="H16" s="572"/>
      <c r="I16" s="596">
        <f t="shared" si="1"/>
        <v>0</v>
      </c>
      <c r="J16" s="595">
        <f t="shared" si="2"/>
        <v>0</v>
      </c>
      <c r="K16" s="570"/>
      <c r="L16" s="570"/>
    </row>
    <row r="17" spans="1:12" s="569" customFormat="1">
      <c r="A17" s="628"/>
      <c r="B17" s="570" t="s">
        <v>574</v>
      </c>
      <c r="C17" s="572">
        <v>10.7</v>
      </c>
      <c r="D17" s="572">
        <v>8.5779999999999994</v>
      </c>
      <c r="E17" s="596">
        <f t="shared" si="0"/>
        <v>2.1219999999999999</v>
      </c>
      <c r="F17" s="570" t="s">
        <v>573</v>
      </c>
      <c r="G17" s="572">
        <v>10.8</v>
      </c>
      <c r="H17" s="572">
        <v>8.5429999999999993</v>
      </c>
      <c r="I17" s="596">
        <f t="shared" si="1"/>
        <v>2.2570000000000014</v>
      </c>
      <c r="J17" s="595">
        <f t="shared" si="2"/>
        <v>2.25</v>
      </c>
      <c r="K17" s="570">
        <v>14</v>
      </c>
      <c r="L17" s="570">
        <v>900</v>
      </c>
    </row>
    <row r="18" spans="1:12" s="569" customFormat="1">
      <c r="A18" s="628"/>
      <c r="B18" s="570" t="s">
        <v>573</v>
      </c>
      <c r="C18" s="572">
        <v>10.8</v>
      </c>
      <c r="D18" s="572">
        <v>8.5429999999999993</v>
      </c>
      <c r="E18" s="596">
        <f t="shared" si="0"/>
        <v>2.2570000000000014</v>
      </c>
      <c r="F18" s="570" t="s">
        <v>572</v>
      </c>
      <c r="G18" s="572">
        <v>11</v>
      </c>
      <c r="H18" s="572">
        <v>8.5069999999999997</v>
      </c>
      <c r="I18" s="596">
        <f t="shared" si="1"/>
        <v>2.4930000000000003</v>
      </c>
      <c r="J18" s="595">
        <f t="shared" si="2"/>
        <v>2.5</v>
      </c>
      <c r="K18" s="570">
        <v>14</v>
      </c>
      <c r="L18" s="570">
        <v>900</v>
      </c>
    </row>
    <row r="19" spans="1:12" s="569" customFormat="1">
      <c r="A19" s="628"/>
      <c r="B19" s="570" t="s">
        <v>572</v>
      </c>
      <c r="C19" s="572">
        <v>11</v>
      </c>
      <c r="D19" s="572">
        <v>8.5069999999999997</v>
      </c>
      <c r="E19" s="596">
        <f t="shared" si="0"/>
        <v>2.4930000000000003</v>
      </c>
      <c r="F19" s="570" t="s">
        <v>571</v>
      </c>
      <c r="G19" s="572">
        <v>11</v>
      </c>
      <c r="H19" s="572">
        <v>8.4629999999999992</v>
      </c>
      <c r="I19" s="596">
        <f t="shared" si="1"/>
        <v>2.5370000000000008</v>
      </c>
      <c r="J19" s="595">
        <f t="shared" si="2"/>
        <v>2.75</v>
      </c>
      <c r="K19" s="570">
        <v>18</v>
      </c>
      <c r="L19" s="570">
        <v>900</v>
      </c>
    </row>
    <row r="20" spans="1:12" s="569" customFormat="1">
      <c r="A20" s="628"/>
      <c r="B20" s="570" t="s">
        <v>571</v>
      </c>
      <c r="C20" s="572">
        <v>11</v>
      </c>
      <c r="D20" s="572">
        <v>8.4629999999999992</v>
      </c>
      <c r="E20" s="596">
        <f t="shared" si="0"/>
        <v>2.5370000000000008</v>
      </c>
      <c r="F20" s="570" t="s">
        <v>568</v>
      </c>
      <c r="G20" s="572">
        <v>10.8</v>
      </c>
      <c r="H20" s="572">
        <v>8.4149999999999991</v>
      </c>
      <c r="I20" s="596">
        <f t="shared" si="1"/>
        <v>2.3850000000000016</v>
      </c>
      <c r="J20" s="595">
        <f t="shared" si="2"/>
        <v>2.5</v>
      </c>
      <c r="K20" s="570">
        <v>19</v>
      </c>
      <c r="L20" s="570">
        <v>900</v>
      </c>
    </row>
    <row r="21" spans="1:12" s="569" customFormat="1">
      <c r="A21" s="628"/>
      <c r="B21" s="570"/>
      <c r="C21" s="572"/>
      <c r="D21" s="572"/>
      <c r="E21" s="596">
        <f t="shared" si="0"/>
        <v>0</v>
      </c>
      <c r="F21" s="570"/>
      <c r="G21" s="572"/>
      <c r="H21" s="572"/>
      <c r="I21" s="596">
        <f t="shared" si="1"/>
        <v>0</v>
      </c>
      <c r="J21" s="595">
        <f t="shared" si="2"/>
        <v>0</v>
      </c>
      <c r="K21" s="570"/>
      <c r="L21" s="570"/>
    </row>
    <row r="22" spans="1:12" s="569" customFormat="1">
      <c r="A22" s="628"/>
      <c r="B22" s="570" t="s">
        <v>570</v>
      </c>
      <c r="C22" s="572">
        <v>11.3</v>
      </c>
      <c r="D22" s="572">
        <v>9.4</v>
      </c>
      <c r="E22" s="596">
        <f t="shared" si="0"/>
        <v>1.9000000000000004</v>
      </c>
      <c r="F22" s="570" t="s">
        <v>569</v>
      </c>
      <c r="G22" s="572">
        <v>11</v>
      </c>
      <c r="H22" s="572">
        <v>9.2029999999999994</v>
      </c>
      <c r="I22" s="596">
        <f t="shared" si="1"/>
        <v>1.7970000000000006</v>
      </c>
      <c r="J22" s="595">
        <f t="shared" si="2"/>
        <v>2</v>
      </c>
      <c r="K22" s="570">
        <v>33</v>
      </c>
      <c r="L22" s="570">
        <v>300</v>
      </c>
    </row>
    <row r="23" spans="1:12" s="569" customFormat="1">
      <c r="A23" s="628"/>
      <c r="B23" s="570" t="s">
        <v>569</v>
      </c>
      <c r="C23" s="572">
        <v>11</v>
      </c>
      <c r="D23" s="572">
        <v>9.2029999999999994</v>
      </c>
      <c r="E23" s="596">
        <f t="shared" si="0"/>
        <v>1.7970000000000006</v>
      </c>
      <c r="F23" s="570" t="s">
        <v>568</v>
      </c>
      <c r="G23" s="572">
        <v>10.8</v>
      </c>
      <c r="H23" s="572">
        <v>8.4149999999999991</v>
      </c>
      <c r="I23" s="596">
        <f t="shared" si="1"/>
        <v>2.3850000000000016</v>
      </c>
      <c r="J23" s="595">
        <f t="shared" si="2"/>
        <v>2.25</v>
      </c>
      <c r="K23" s="570">
        <v>32</v>
      </c>
      <c r="L23" s="570">
        <v>300</v>
      </c>
    </row>
    <row r="24" spans="1:12" s="569" customFormat="1">
      <c r="A24" s="628"/>
      <c r="B24" s="570"/>
      <c r="C24" s="572"/>
      <c r="D24" s="572"/>
      <c r="E24" s="596">
        <f t="shared" si="0"/>
        <v>0</v>
      </c>
      <c r="F24" s="570"/>
      <c r="G24" s="572"/>
      <c r="H24" s="572"/>
      <c r="I24" s="596">
        <f t="shared" si="1"/>
        <v>0</v>
      </c>
      <c r="J24" s="595">
        <f t="shared" si="2"/>
        <v>0</v>
      </c>
      <c r="K24" s="570"/>
      <c r="L24" s="570"/>
    </row>
    <row r="25" spans="1:12" s="569" customFormat="1">
      <c r="A25" s="628"/>
      <c r="B25" s="570" t="s">
        <v>568</v>
      </c>
      <c r="C25" s="572">
        <v>10.8</v>
      </c>
      <c r="D25" s="572">
        <v>8.4149999999999991</v>
      </c>
      <c r="E25" s="596">
        <f t="shared" si="0"/>
        <v>2.3850000000000016</v>
      </c>
      <c r="F25" s="570" t="s">
        <v>567</v>
      </c>
      <c r="G25" s="572">
        <v>10.95</v>
      </c>
      <c r="H25" s="572">
        <v>8.31</v>
      </c>
      <c r="I25" s="596">
        <f t="shared" si="1"/>
        <v>2.6399999999999988</v>
      </c>
      <c r="J25" s="595">
        <f t="shared" si="2"/>
        <v>2.75</v>
      </c>
      <c r="K25" s="570">
        <v>42</v>
      </c>
      <c r="L25" s="570">
        <v>900</v>
      </c>
    </row>
    <row r="26" spans="1:12" s="569" customFormat="1">
      <c r="A26" s="628"/>
      <c r="B26" s="570" t="s">
        <v>567</v>
      </c>
      <c r="C26" s="572">
        <v>10.95</v>
      </c>
      <c r="D26" s="572">
        <v>8.31</v>
      </c>
      <c r="E26" s="596">
        <f t="shared" si="0"/>
        <v>2.6399999999999988</v>
      </c>
      <c r="F26" s="570" t="s">
        <v>564</v>
      </c>
      <c r="G26" s="572">
        <v>11.15</v>
      </c>
      <c r="H26" s="572">
        <v>8.26</v>
      </c>
      <c r="I26" s="596">
        <f t="shared" si="1"/>
        <v>2.8900000000000006</v>
      </c>
      <c r="J26" s="595">
        <f t="shared" si="2"/>
        <v>3</v>
      </c>
      <c r="K26" s="570">
        <v>20</v>
      </c>
      <c r="L26" s="570">
        <v>900</v>
      </c>
    </row>
    <row r="27" spans="1:12" s="569" customFormat="1">
      <c r="A27" s="628"/>
      <c r="B27" s="570"/>
      <c r="C27" s="572"/>
      <c r="D27" s="572"/>
      <c r="E27" s="596">
        <f t="shared" si="0"/>
        <v>0</v>
      </c>
      <c r="F27" s="570"/>
      <c r="G27" s="572"/>
      <c r="H27" s="572"/>
      <c r="I27" s="596">
        <f t="shared" si="1"/>
        <v>0</v>
      </c>
      <c r="J27" s="595">
        <f t="shared" si="2"/>
        <v>0</v>
      </c>
      <c r="K27" s="570"/>
      <c r="L27" s="570"/>
    </row>
    <row r="28" spans="1:12" s="569" customFormat="1">
      <c r="A28" s="628"/>
      <c r="B28" s="570" t="s">
        <v>566</v>
      </c>
      <c r="C28" s="572">
        <v>10.9</v>
      </c>
      <c r="D28" s="572">
        <v>9.4019999999999992</v>
      </c>
      <c r="E28" s="596">
        <f t="shared" si="0"/>
        <v>1.4980000000000011</v>
      </c>
      <c r="F28" s="570" t="s">
        <v>565</v>
      </c>
      <c r="G28" s="572">
        <v>10.85</v>
      </c>
      <c r="H28" s="572">
        <v>9.266</v>
      </c>
      <c r="I28" s="596">
        <f t="shared" si="1"/>
        <v>1.5839999999999996</v>
      </c>
      <c r="J28" s="595">
        <f t="shared" si="2"/>
        <v>1.75</v>
      </c>
      <c r="K28" s="570">
        <v>33</v>
      </c>
      <c r="L28" s="570">
        <v>300</v>
      </c>
    </row>
    <row r="29" spans="1:12" s="569" customFormat="1">
      <c r="A29" s="628"/>
      <c r="B29" s="570" t="s">
        <v>565</v>
      </c>
      <c r="C29" s="572">
        <v>10.85</v>
      </c>
      <c r="D29" s="572">
        <v>9.266</v>
      </c>
      <c r="E29" s="596">
        <f t="shared" si="0"/>
        <v>1.5839999999999996</v>
      </c>
      <c r="F29" s="570" t="s">
        <v>564</v>
      </c>
      <c r="G29" s="572">
        <v>11.15</v>
      </c>
      <c r="H29" s="572">
        <v>8.26</v>
      </c>
      <c r="I29" s="596">
        <f t="shared" si="1"/>
        <v>2.8900000000000006</v>
      </c>
      <c r="J29" s="595">
        <f t="shared" si="2"/>
        <v>2.25</v>
      </c>
      <c r="K29" s="570">
        <v>32</v>
      </c>
      <c r="L29" s="570">
        <v>300</v>
      </c>
    </row>
    <row r="30" spans="1:12" s="569" customFormat="1">
      <c r="A30" s="628"/>
      <c r="B30" s="570"/>
      <c r="C30" s="572"/>
      <c r="D30" s="572"/>
      <c r="E30" s="596">
        <f t="shared" si="0"/>
        <v>0</v>
      </c>
      <c r="F30" s="570"/>
      <c r="G30" s="572"/>
      <c r="H30" s="572"/>
      <c r="I30" s="596">
        <f t="shared" si="1"/>
        <v>0</v>
      </c>
      <c r="J30" s="595">
        <f t="shared" si="2"/>
        <v>0</v>
      </c>
      <c r="K30" s="570"/>
      <c r="L30" s="570"/>
    </row>
    <row r="31" spans="1:12" s="569" customFormat="1">
      <c r="A31" s="628"/>
      <c r="B31" s="570" t="s">
        <v>564</v>
      </c>
      <c r="C31" s="572">
        <v>11.15</v>
      </c>
      <c r="D31" s="572">
        <v>8.26</v>
      </c>
      <c r="E31" s="596">
        <f t="shared" si="0"/>
        <v>2.8900000000000006</v>
      </c>
      <c r="F31" s="570" t="s">
        <v>563</v>
      </c>
      <c r="G31" s="572">
        <v>10.9</v>
      </c>
      <c r="H31" s="572">
        <v>8.1920000000000002</v>
      </c>
      <c r="I31" s="596">
        <f t="shared" si="1"/>
        <v>2.7080000000000002</v>
      </c>
      <c r="J31" s="595">
        <f t="shared" si="2"/>
        <v>3</v>
      </c>
      <c r="K31" s="570">
        <v>27</v>
      </c>
      <c r="L31" s="570">
        <v>900</v>
      </c>
    </row>
    <row r="32" spans="1:12" s="569" customFormat="1">
      <c r="A32" s="628"/>
      <c r="B32" s="570" t="s">
        <v>563</v>
      </c>
      <c r="C32" s="572">
        <v>10.9</v>
      </c>
      <c r="D32" s="572">
        <v>8.1920000000000002</v>
      </c>
      <c r="E32" s="596">
        <f t="shared" si="0"/>
        <v>2.7080000000000002</v>
      </c>
      <c r="F32" s="570" t="s">
        <v>562</v>
      </c>
      <c r="G32" s="572">
        <v>10.7</v>
      </c>
      <c r="H32" s="572">
        <v>8.1440000000000001</v>
      </c>
      <c r="I32" s="596">
        <f t="shared" si="1"/>
        <v>2.5559999999999992</v>
      </c>
      <c r="J32" s="595">
        <f t="shared" si="2"/>
        <v>2.75</v>
      </c>
      <c r="K32" s="570">
        <v>19</v>
      </c>
      <c r="L32" s="570">
        <v>900</v>
      </c>
    </row>
    <row r="33" spans="1:12" s="569" customFormat="1">
      <c r="A33" s="628"/>
      <c r="B33" s="570" t="s">
        <v>562</v>
      </c>
      <c r="C33" s="572">
        <v>10.7</v>
      </c>
      <c r="D33" s="572">
        <v>8.1440000000000001</v>
      </c>
      <c r="E33" s="596">
        <f t="shared" si="0"/>
        <v>2.5559999999999992</v>
      </c>
      <c r="F33" s="570" t="s">
        <v>157</v>
      </c>
      <c r="G33" s="572">
        <v>10.6</v>
      </c>
      <c r="H33" s="572">
        <v>8.1020000000000003</v>
      </c>
      <c r="I33" s="596">
        <f t="shared" si="1"/>
        <v>2.4979999999999993</v>
      </c>
      <c r="J33" s="595">
        <f t="shared" si="2"/>
        <v>2.75</v>
      </c>
      <c r="K33" s="570">
        <v>17</v>
      </c>
      <c r="L33" s="570">
        <v>900</v>
      </c>
    </row>
    <row r="34" spans="1:12" s="569" customFormat="1">
      <c r="A34" s="628"/>
      <c r="B34" s="570"/>
      <c r="C34" s="572"/>
      <c r="D34" s="572"/>
      <c r="E34" s="596">
        <f t="shared" si="0"/>
        <v>0</v>
      </c>
      <c r="F34" s="570"/>
      <c r="G34" s="572"/>
      <c r="H34" s="572"/>
      <c r="I34" s="596">
        <f t="shared" si="1"/>
        <v>0</v>
      </c>
      <c r="J34" s="595">
        <f t="shared" si="2"/>
        <v>0</v>
      </c>
      <c r="K34" s="570"/>
      <c r="L34" s="570"/>
    </row>
    <row r="35" spans="1:12" s="569" customFormat="1">
      <c r="A35" s="628"/>
      <c r="B35" s="570" t="s">
        <v>561</v>
      </c>
      <c r="C35" s="572">
        <v>11.2</v>
      </c>
      <c r="D35" s="572">
        <v>9.5350000000000001</v>
      </c>
      <c r="E35" s="596">
        <f t="shared" si="0"/>
        <v>1.6649999999999991</v>
      </c>
      <c r="F35" s="570" t="s">
        <v>560</v>
      </c>
      <c r="G35" s="572">
        <v>11.1</v>
      </c>
      <c r="H35" s="572">
        <v>9.4640000000000004</v>
      </c>
      <c r="I35" s="596">
        <f t="shared" si="1"/>
        <v>1.6359999999999992</v>
      </c>
      <c r="J35" s="595">
        <f t="shared" si="2"/>
        <v>1.75</v>
      </c>
      <c r="K35" s="570">
        <v>17</v>
      </c>
      <c r="L35" s="570">
        <v>300</v>
      </c>
    </row>
    <row r="36" spans="1:12" s="569" customFormat="1">
      <c r="A36" s="628"/>
      <c r="B36" s="570" t="s">
        <v>560</v>
      </c>
      <c r="C36" s="572">
        <v>11.1</v>
      </c>
      <c r="D36" s="572">
        <v>9.4640000000000004</v>
      </c>
      <c r="E36" s="596">
        <f t="shared" si="0"/>
        <v>1.6359999999999992</v>
      </c>
      <c r="F36" s="570" t="s">
        <v>559</v>
      </c>
      <c r="G36" s="572">
        <v>10.95</v>
      </c>
      <c r="H36" s="572">
        <v>9.2560000000000002</v>
      </c>
      <c r="I36" s="596">
        <f t="shared" si="1"/>
        <v>1.6939999999999991</v>
      </c>
      <c r="J36" s="595">
        <f t="shared" si="2"/>
        <v>1.75</v>
      </c>
      <c r="K36" s="570">
        <v>14</v>
      </c>
      <c r="L36" s="570">
        <v>300</v>
      </c>
    </row>
    <row r="37" spans="1:12" s="569" customFormat="1">
      <c r="A37" s="628"/>
      <c r="B37" s="570" t="s">
        <v>559</v>
      </c>
      <c r="C37" s="572">
        <v>10.95</v>
      </c>
      <c r="D37" s="572">
        <v>9.2560000000000002</v>
      </c>
      <c r="E37" s="596">
        <f t="shared" si="0"/>
        <v>1.6939999999999991</v>
      </c>
      <c r="F37" s="570" t="s">
        <v>558</v>
      </c>
      <c r="G37" s="572">
        <v>10.96</v>
      </c>
      <c r="H37" s="572">
        <v>9.1210000000000004</v>
      </c>
      <c r="I37" s="596">
        <f t="shared" si="1"/>
        <v>1.8390000000000004</v>
      </c>
      <c r="J37" s="595">
        <f t="shared" si="2"/>
        <v>2</v>
      </c>
      <c r="K37" s="570">
        <v>33</v>
      </c>
      <c r="L37" s="570">
        <v>450</v>
      </c>
    </row>
    <row r="38" spans="1:12" s="569" customFormat="1">
      <c r="A38" s="628"/>
      <c r="B38" s="570" t="s">
        <v>558</v>
      </c>
      <c r="C38" s="572">
        <v>10.96</v>
      </c>
      <c r="D38" s="572">
        <v>9.1210000000000004</v>
      </c>
      <c r="E38" s="596">
        <f t="shared" ref="E38:E69" si="3">C38-D38</f>
        <v>1.8390000000000004</v>
      </c>
      <c r="F38" s="570" t="s">
        <v>554</v>
      </c>
      <c r="G38" s="572">
        <v>11.2</v>
      </c>
      <c r="H38" s="572">
        <v>8.8789999999999996</v>
      </c>
      <c r="I38" s="596">
        <f t="shared" ref="I38:I69" si="4">G38-H38</f>
        <v>2.3209999999999997</v>
      </c>
      <c r="J38" s="595">
        <f t="shared" ref="J38:J69" si="5">CEILING((E38+I38)/2,0.25)</f>
        <v>2.25</v>
      </c>
      <c r="K38" s="570">
        <v>41</v>
      </c>
      <c r="L38" s="570">
        <v>450</v>
      </c>
    </row>
    <row r="39" spans="1:12" s="569" customFormat="1">
      <c r="A39" s="628"/>
      <c r="B39" s="570"/>
      <c r="C39" s="572"/>
      <c r="D39" s="572"/>
      <c r="E39" s="596">
        <f t="shared" si="3"/>
        <v>0</v>
      </c>
      <c r="F39" s="570"/>
      <c r="G39" s="572"/>
      <c r="H39" s="572"/>
      <c r="I39" s="596">
        <f t="shared" si="4"/>
        <v>0</v>
      </c>
      <c r="J39" s="595">
        <f t="shared" si="5"/>
        <v>0</v>
      </c>
      <c r="K39" s="570"/>
      <c r="L39" s="570"/>
    </row>
    <row r="40" spans="1:12" s="569" customFormat="1">
      <c r="A40" s="628"/>
      <c r="B40" s="570" t="s">
        <v>557</v>
      </c>
      <c r="C40" s="572">
        <v>11.3</v>
      </c>
      <c r="D40" s="572">
        <v>9.3829999999999991</v>
      </c>
      <c r="E40" s="596">
        <f t="shared" si="3"/>
        <v>1.9170000000000016</v>
      </c>
      <c r="F40" s="570" t="s">
        <v>556</v>
      </c>
      <c r="G40" s="572">
        <v>11.28</v>
      </c>
      <c r="H40" s="572">
        <v>9.3140000000000001</v>
      </c>
      <c r="I40" s="596">
        <f t="shared" si="4"/>
        <v>1.9659999999999993</v>
      </c>
      <c r="J40" s="595">
        <f t="shared" si="5"/>
        <v>2</v>
      </c>
      <c r="K40" s="570">
        <v>12</v>
      </c>
      <c r="L40" s="570">
        <v>225</v>
      </c>
    </row>
    <row r="41" spans="1:12" s="569" customFormat="1">
      <c r="A41" s="628"/>
      <c r="B41" s="570" t="s">
        <v>556</v>
      </c>
      <c r="C41" s="572">
        <v>11.28</v>
      </c>
      <c r="D41" s="572">
        <v>9.3140000000000001</v>
      </c>
      <c r="E41" s="596">
        <f t="shared" si="3"/>
        <v>1.9659999999999993</v>
      </c>
      <c r="F41" s="570" t="s">
        <v>555</v>
      </c>
      <c r="G41" s="572">
        <v>11.15</v>
      </c>
      <c r="H41" s="572">
        <v>9.1720000000000006</v>
      </c>
      <c r="I41" s="596">
        <f t="shared" si="4"/>
        <v>1.9779999999999998</v>
      </c>
      <c r="J41" s="595">
        <f t="shared" si="5"/>
        <v>2</v>
      </c>
      <c r="K41" s="570">
        <v>11</v>
      </c>
      <c r="L41" s="570">
        <v>225</v>
      </c>
    </row>
    <row r="42" spans="1:12" s="569" customFormat="1">
      <c r="A42" s="628"/>
      <c r="B42" s="570" t="s">
        <v>555</v>
      </c>
      <c r="C42" s="572">
        <v>11.15</v>
      </c>
      <c r="D42" s="572">
        <v>9.1720000000000006</v>
      </c>
      <c r="E42" s="596">
        <f t="shared" si="3"/>
        <v>1.9779999999999998</v>
      </c>
      <c r="F42" s="570" t="s">
        <v>554</v>
      </c>
      <c r="G42" s="572">
        <v>11.2</v>
      </c>
      <c r="H42" s="572">
        <v>8.8789999999999996</v>
      </c>
      <c r="I42" s="596">
        <f t="shared" si="4"/>
        <v>2.3209999999999997</v>
      </c>
      <c r="J42" s="595">
        <f t="shared" si="5"/>
        <v>2.25</v>
      </c>
      <c r="K42" s="570">
        <v>12</v>
      </c>
      <c r="L42" s="570">
        <v>300</v>
      </c>
    </row>
    <row r="43" spans="1:12" s="569" customFormat="1">
      <c r="A43" s="628"/>
      <c r="B43" s="570"/>
      <c r="C43" s="572"/>
      <c r="D43" s="572"/>
      <c r="E43" s="596">
        <f t="shared" si="3"/>
        <v>0</v>
      </c>
      <c r="F43" s="570"/>
      <c r="G43" s="572"/>
      <c r="H43" s="572"/>
      <c r="I43" s="596">
        <f t="shared" si="4"/>
        <v>0</v>
      </c>
      <c r="J43" s="595">
        <f t="shared" si="5"/>
        <v>0</v>
      </c>
      <c r="K43" s="570"/>
      <c r="L43" s="570"/>
    </row>
    <row r="44" spans="1:12" s="569" customFormat="1">
      <c r="A44" s="628"/>
      <c r="B44" s="570" t="s">
        <v>554</v>
      </c>
      <c r="C44" s="572">
        <v>11.2</v>
      </c>
      <c r="D44" s="572">
        <v>8.8789999999999996</v>
      </c>
      <c r="E44" s="596">
        <f t="shared" si="3"/>
        <v>2.3209999999999997</v>
      </c>
      <c r="F44" s="570" t="s">
        <v>553</v>
      </c>
      <c r="G44" s="572">
        <v>10.96</v>
      </c>
      <c r="H44" s="572">
        <v>8.8000000000000007</v>
      </c>
      <c r="I44" s="596">
        <f t="shared" si="4"/>
        <v>2.16</v>
      </c>
      <c r="J44" s="595">
        <f t="shared" si="5"/>
        <v>2.25</v>
      </c>
      <c r="K44" s="570">
        <v>19</v>
      </c>
      <c r="L44" s="570">
        <v>525</v>
      </c>
    </row>
    <row r="45" spans="1:12" s="569" customFormat="1">
      <c r="A45" s="628"/>
      <c r="B45" s="570" t="s">
        <v>553</v>
      </c>
      <c r="C45" s="572">
        <v>10.96</v>
      </c>
      <c r="D45" s="572">
        <v>8.8000000000000007</v>
      </c>
      <c r="E45" s="596">
        <f t="shared" si="3"/>
        <v>2.16</v>
      </c>
      <c r="F45" s="570" t="s">
        <v>552</v>
      </c>
      <c r="G45" s="572">
        <v>10.76</v>
      </c>
      <c r="H45" s="572">
        <v>8.718</v>
      </c>
      <c r="I45" s="596">
        <f t="shared" si="4"/>
        <v>2.0419999999999998</v>
      </c>
      <c r="J45" s="595">
        <f t="shared" si="5"/>
        <v>2.25</v>
      </c>
      <c r="K45" s="570">
        <v>22</v>
      </c>
      <c r="L45" s="570">
        <v>525</v>
      </c>
    </row>
    <row r="46" spans="1:12" s="569" customFormat="1">
      <c r="A46" s="628"/>
      <c r="B46" s="570" t="s">
        <v>552</v>
      </c>
      <c r="C46" s="572">
        <v>10.76</v>
      </c>
      <c r="D46" s="572">
        <v>8.718</v>
      </c>
      <c r="E46" s="596">
        <f t="shared" si="3"/>
        <v>2.0419999999999998</v>
      </c>
      <c r="F46" s="570" t="s">
        <v>550</v>
      </c>
      <c r="G46" s="572">
        <v>10.66</v>
      </c>
      <c r="H46" s="572">
        <v>8.3439999999999994</v>
      </c>
      <c r="I46" s="596">
        <f t="shared" si="4"/>
        <v>2.3160000000000007</v>
      </c>
      <c r="J46" s="595">
        <f t="shared" si="5"/>
        <v>2.25</v>
      </c>
      <c r="K46" s="570">
        <v>14</v>
      </c>
      <c r="L46" s="570">
        <v>525</v>
      </c>
    </row>
    <row r="47" spans="1:12" s="569" customFormat="1">
      <c r="A47" s="628"/>
      <c r="B47" s="570"/>
      <c r="C47" s="572"/>
      <c r="D47" s="572"/>
      <c r="E47" s="596">
        <f t="shared" si="3"/>
        <v>0</v>
      </c>
      <c r="F47" s="570"/>
      <c r="G47" s="572"/>
      <c r="H47" s="572"/>
      <c r="I47" s="596">
        <f t="shared" si="4"/>
        <v>0</v>
      </c>
      <c r="J47" s="595">
        <f t="shared" si="5"/>
        <v>0</v>
      </c>
      <c r="K47" s="570"/>
      <c r="L47" s="570"/>
    </row>
    <row r="48" spans="1:12" s="569" customFormat="1">
      <c r="A48" s="628"/>
      <c r="B48" s="570" t="s">
        <v>551</v>
      </c>
      <c r="C48" s="572">
        <v>10.65</v>
      </c>
      <c r="D48" s="572">
        <v>9.0540000000000003</v>
      </c>
      <c r="E48" s="596">
        <f t="shared" si="3"/>
        <v>1.5960000000000001</v>
      </c>
      <c r="F48" s="570" t="s">
        <v>550</v>
      </c>
      <c r="G48" s="572">
        <v>10.66</v>
      </c>
      <c r="H48" s="572">
        <v>8.3439999999999994</v>
      </c>
      <c r="I48" s="596">
        <f t="shared" si="4"/>
        <v>2.3160000000000007</v>
      </c>
      <c r="J48" s="595">
        <f t="shared" si="5"/>
        <v>2</v>
      </c>
      <c r="K48" s="570">
        <v>16</v>
      </c>
      <c r="L48" s="570">
        <v>225</v>
      </c>
    </row>
    <row r="49" spans="1:12" s="569" customFormat="1">
      <c r="A49" s="628"/>
      <c r="B49" s="570"/>
      <c r="C49" s="572"/>
      <c r="D49" s="572"/>
      <c r="E49" s="596">
        <f t="shared" si="3"/>
        <v>0</v>
      </c>
      <c r="F49" s="570"/>
      <c r="G49" s="572"/>
      <c r="H49" s="572"/>
      <c r="I49" s="596">
        <f t="shared" si="4"/>
        <v>0</v>
      </c>
      <c r="J49" s="595">
        <f t="shared" si="5"/>
        <v>0</v>
      </c>
      <c r="K49" s="570"/>
      <c r="L49" s="570"/>
    </row>
    <row r="50" spans="1:12" s="569" customFormat="1">
      <c r="A50" s="628"/>
      <c r="B50" s="570" t="s">
        <v>550</v>
      </c>
      <c r="C50" s="572">
        <v>10.66</v>
      </c>
      <c r="D50" s="572">
        <v>8.3439999999999994</v>
      </c>
      <c r="E50" s="596">
        <f t="shared" si="3"/>
        <v>2.3160000000000007</v>
      </c>
      <c r="F50" s="570" t="s">
        <v>549</v>
      </c>
      <c r="G50" s="572">
        <v>10.5</v>
      </c>
      <c r="H50" s="572">
        <v>8.5660000000000007</v>
      </c>
      <c r="I50" s="596">
        <f t="shared" si="4"/>
        <v>1.9339999999999993</v>
      </c>
      <c r="J50" s="595">
        <f t="shared" si="5"/>
        <v>2.25</v>
      </c>
      <c r="K50" s="570">
        <v>8</v>
      </c>
      <c r="L50" s="570">
        <v>600</v>
      </c>
    </row>
    <row r="51" spans="1:12" s="569" customFormat="1">
      <c r="A51" s="628"/>
      <c r="B51" s="570" t="s">
        <v>549</v>
      </c>
      <c r="C51" s="572">
        <v>10.5</v>
      </c>
      <c r="D51" s="572">
        <v>8.5660000000000007</v>
      </c>
      <c r="E51" s="596">
        <f t="shared" si="3"/>
        <v>1.9339999999999993</v>
      </c>
      <c r="F51" s="570" t="s">
        <v>548</v>
      </c>
      <c r="G51" s="572">
        <v>10.6</v>
      </c>
      <c r="H51" s="572">
        <v>8.5399999999999991</v>
      </c>
      <c r="I51" s="596">
        <f t="shared" si="4"/>
        <v>2.0600000000000005</v>
      </c>
      <c r="J51" s="595">
        <f t="shared" si="5"/>
        <v>2</v>
      </c>
      <c r="K51" s="570">
        <v>10</v>
      </c>
      <c r="L51" s="570">
        <v>600</v>
      </c>
    </row>
    <row r="52" spans="1:12" s="569" customFormat="1">
      <c r="A52" s="628"/>
      <c r="B52" s="570" t="s">
        <v>548</v>
      </c>
      <c r="C52" s="572">
        <v>10.6</v>
      </c>
      <c r="D52" s="572">
        <v>8.5399999999999991</v>
      </c>
      <c r="E52" s="596">
        <f t="shared" si="3"/>
        <v>2.0600000000000005</v>
      </c>
      <c r="F52" s="570" t="s">
        <v>547</v>
      </c>
      <c r="G52" s="572">
        <v>10.7</v>
      </c>
      <c r="H52" s="572">
        <v>8.51</v>
      </c>
      <c r="I52" s="596">
        <f t="shared" si="4"/>
        <v>2.1899999999999995</v>
      </c>
      <c r="J52" s="595">
        <f t="shared" si="5"/>
        <v>2.25</v>
      </c>
      <c r="K52" s="570">
        <v>12</v>
      </c>
      <c r="L52" s="570">
        <v>600</v>
      </c>
    </row>
    <row r="53" spans="1:12" s="569" customFormat="1">
      <c r="A53" s="628"/>
      <c r="B53" s="570" t="s">
        <v>547</v>
      </c>
      <c r="C53" s="572">
        <v>10.7</v>
      </c>
      <c r="D53" s="572">
        <v>8.51</v>
      </c>
      <c r="E53" s="596">
        <f t="shared" si="3"/>
        <v>2.1899999999999995</v>
      </c>
      <c r="F53" s="570" t="s">
        <v>546</v>
      </c>
      <c r="G53" s="572">
        <v>10.8</v>
      </c>
      <c r="H53" s="572">
        <v>8.4760000000000009</v>
      </c>
      <c r="I53" s="596">
        <f t="shared" si="4"/>
        <v>2.3239999999999998</v>
      </c>
      <c r="J53" s="595">
        <f t="shared" si="5"/>
        <v>2.5</v>
      </c>
      <c r="K53" s="570">
        <v>14</v>
      </c>
      <c r="L53" s="570">
        <v>600</v>
      </c>
    </row>
    <row r="54" spans="1:12" s="569" customFormat="1">
      <c r="A54" s="628"/>
      <c r="B54" s="570" t="s">
        <v>546</v>
      </c>
      <c r="C54" s="572">
        <v>10.8</v>
      </c>
      <c r="D54" s="572">
        <v>8.4760000000000009</v>
      </c>
      <c r="E54" s="596">
        <f t="shared" si="3"/>
        <v>2.3239999999999998</v>
      </c>
      <c r="F54" s="570" t="s">
        <v>157</v>
      </c>
      <c r="G54" s="572">
        <v>10.6</v>
      </c>
      <c r="H54" s="572">
        <v>8.1020000000000003</v>
      </c>
      <c r="I54" s="596">
        <f t="shared" si="4"/>
        <v>2.4979999999999993</v>
      </c>
      <c r="J54" s="595">
        <f t="shared" si="5"/>
        <v>2.5</v>
      </c>
      <c r="K54" s="570">
        <v>28</v>
      </c>
      <c r="L54" s="570">
        <v>600</v>
      </c>
    </row>
    <row r="55" spans="1:12" s="569" customFormat="1">
      <c r="A55" s="628"/>
      <c r="B55" s="570"/>
      <c r="C55" s="572"/>
      <c r="D55" s="572"/>
      <c r="E55" s="596">
        <f t="shared" si="3"/>
        <v>0</v>
      </c>
      <c r="F55" s="570"/>
      <c r="G55" s="572"/>
      <c r="H55" s="572"/>
      <c r="I55" s="596">
        <f t="shared" si="4"/>
        <v>0</v>
      </c>
      <c r="J55" s="595">
        <f t="shared" si="5"/>
        <v>0</v>
      </c>
      <c r="K55" s="570"/>
      <c r="L55" s="570"/>
    </row>
    <row r="56" spans="1:12" s="569" customFormat="1">
      <c r="A56" s="628"/>
      <c r="B56" s="570" t="s">
        <v>157</v>
      </c>
      <c r="C56" s="572">
        <v>10.6</v>
      </c>
      <c r="D56" s="572">
        <v>8.1020000000000003</v>
      </c>
      <c r="E56" s="596">
        <f t="shared" si="3"/>
        <v>2.4979999999999993</v>
      </c>
      <c r="F56" s="570" t="s">
        <v>545</v>
      </c>
      <c r="G56" s="572">
        <v>10.4</v>
      </c>
      <c r="H56" s="572">
        <v>8.0519999999999996</v>
      </c>
      <c r="I56" s="596">
        <f t="shared" si="4"/>
        <v>2.3480000000000008</v>
      </c>
      <c r="J56" s="595">
        <f t="shared" si="5"/>
        <v>2.5</v>
      </c>
      <c r="K56" s="570">
        <v>20</v>
      </c>
      <c r="L56" s="570">
        <v>900</v>
      </c>
    </row>
    <row r="57" spans="1:12" s="569" customFormat="1">
      <c r="A57" s="628"/>
      <c r="B57" s="570" t="s">
        <v>545</v>
      </c>
      <c r="C57" s="572">
        <v>10.4</v>
      </c>
      <c r="D57" s="572">
        <v>8.0519999999999996</v>
      </c>
      <c r="E57" s="596">
        <f t="shared" si="3"/>
        <v>2.3480000000000008</v>
      </c>
      <c r="F57" s="570" t="s">
        <v>544</v>
      </c>
      <c r="G57" s="572">
        <v>10.14</v>
      </c>
      <c r="H57" s="572">
        <v>8.0039999999999996</v>
      </c>
      <c r="I57" s="596">
        <f t="shared" si="4"/>
        <v>2.136000000000001</v>
      </c>
      <c r="J57" s="595">
        <f t="shared" si="5"/>
        <v>2.25</v>
      </c>
      <c r="K57" s="570">
        <v>19</v>
      </c>
      <c r="L57" s="570">
        <v>900</v>
      </c>
    </row>
    <row r="58" spans="1:12" s="569" customFormat="1">
      <c r="A58" s="628"/>
      <c r="B58" s="570" t="s">
        <v>544</v>
      </c>
      <c r="C58" s="572">
        <v>10.14</v>
      </c>
      <c r="D58" s="572">
        <v>8.0039999999999996</v>
      </c>
      <c r="E58" s="596">
        <f t="shared" si="3"/>
        <v>2.136000000000001</v>
      </c>
      <c r="F58" s="570" t="s">
        <v>543</v>
      </c>
      <c r="G58" s="572">
        <v>10.1</v>
      </c>
      <c r="H58" s="572">
        <v>7.9770000000000003</v>
      </c>
      <c r="I58" s="596">
        <f t="shared" si="4"/>
        <v>2.1229999999999993</v>
      </c>
      <c r="J58" s="595">
        <f t="shared" si="5"/>
        <v>2.25</v>
      </c>
      <c r="K58" s="570">
        <v>10</v>
      </c>
      <c r="L58" s="570">
        <v>900</v>
      </c>
    </row>
    <row r="59" spans="1:12" s="569" customFormat="1">
      <c r="A59" s="628"/>
      <c r="B59" s="570" t="s">
        <v>543</v>
      </c>
      <c r="C59" s="572">
        <v>10.1</v>
      </c>
      <c r="D59" s="572">
        <v>7.9770000000000003</v>
      </c>
      <c r="E59" s="596">
        <f t="shared" si="3"/>
        <v>2.1229999999999993</v>
      </c>
      <c r="F59" s="570" t="s">
        <v>156</v>
      </c>
      <c r="G59" s="572">
        <v>9.99</v>
      </c>
      <c r="H59" s="572">
        <v>7.9560000000000004</v>
      </c>
      <c r="I59" s="596">
        <f t="shared" si="4"/>
        <v>2.0339999999999998</v>
      </c>
      <c r="J59" s="595">
        <f t="shared" si="5"/>
        <v>2.25</v>
      </c>
      <c r="K59" s="570">
        <v>9</v>
      </c>
      <c r="L59" s="570">
        <v>900</v>
      </c>
    </row>
    <row r="60" spans="1:12" s="569" customFormat="1">
      <c r="A60" s="628"/>
      <c r="B60" s="570" t="s">
        <v>156</v>
      </c>
      <c r="C60" s="572">
        <v>9.99</v>
      </c>
      <c r="D60" s="572">
        <v>7.9560000000000004</v>
      </c>
      <c r="E60" s="596">
        <f t="shared" si="3"/>
        <v>2.0339999999999998</v>
      </c>
      <c r="F60" s="570" t="s">
        <v>542</v>
      </c>
      <c r="G60" s="572">
        <v>9.5</v>
      </c>
      <c r="H60" s="572">
        <v>7.8949999999999996</v>
      </c>
      <c r="I60" s="596">
        <f t="shared" si="4"/>
        <v>1.6050000000000004</v>
      </c>
      <c r="J60" s="595">
        <f t="shared" si="5"/>
        <v>2</v>
      </c>
      <c r="K60" s="570">
        <v>24</v>
      </c>
      <c r="L60" s="570">
        <v>900</v>
      </c>
    </row>
    <row r="61" spans="1:12" s="569" customFormat="1">
      <c r="A61" s="628"/>
      <c r="B61" s="570"/>
      <c r="C61" s="572"/>
      <c r="D61" s="572"/>
      <c r="E61" s="596">
        <f t="shared" si="3"/>
        <v>0</v>
      </c>
      <c r="F61" s="570"/>
      <c r="G61" s="572"/>
      <c r="H61" s="572"/>
      <c r="I61" s="596">
        <f t="shared" si="4"/>
        <v>0</v>
      </c>
      <c r="J61" s="595">
        <f t="shared" si="5"/>
        <v>0</v>
      </c>
      <c r="K61" s="570"/>
      <c r="L61" s="570"/>
    </row>
    <row r="62" spans="1:12" s="569" customFormat="1">
      <c r="A62" s="628"/>
      <c r="B62" s="570" t="s">
        <v>541</v>
      </c>
      <c r="C62" s="572">
        <v>9.5</v>
      </c>
      <c r="D62" s="572">
        <v>7.85</v>
      </c>
      <c r="E62" s="596">
        <f t="shared" si="3"/>
        <v>1.6500000000000004</v>
      </c>
      <c r="F62" s="570" t="s">
        <v>153</v>
      </c>
      <c r="G62" s="572">
        <v>10</v>
      </c>
      <c r="H62" s="572">
        <v>7.8310000000000004</v>
      </c>
      <c r="I62" s="596">
        <f t="shared" si="4"/>
        <v>2.1689999999999996</v>
      </c>
      <c r="J62" s="595">
        <f t="shared" si="5"/>
        <v>2</v>
      </c>
      <c r="K62" s="570">
        <v>8</v>
      </c>
      <c r="L62" s="570">
        <v>825</v>
      </c>
    </row>
    <row r="63" spans="1:12" s="569" customFormat="1">
      <c r="A63" s="628"/>
      <c r="B63" s="570" t="s">
        <v>153</v>
      </c>
      <c r="C63" s="572">
        <v>10</v>
      </c>
      <c r="D63" s="572">
        <v>7.8310000000000004</v>
      </c>
      <c r="E63" s="596">
        <f t="shared" si="3"/>
        <v>2.1689999999999996</v>
      </c>
      <c r="F63" s="570" t="s">
        <v>152</v>
      </c>
      <c r="G63" s="572">
        <v>9.9</v>
      </c>
      <c r="H63" s="572">
        <v>7.8090000000000002</v>
      </c>
      <c r="I63" s="596">
        <f t="shared" si="4"/>
        <v>2.0910000000000002</v>
      </c>
      <c r="J63" s="595">
        <f t="shared" si="5"/>
        <v>2.25</v>
      </c>
      <c r="K63" s="570">
        <v>28</v>
      </c>
      <c r="L63" s="570">
        <v>825</v>
      </c>
    </row>
    <row r="64" spans="1:12" s="569" customFormat="1">
      <c r="A64" s="628"/>
      <c r="B64" s="570" t="s">
        <v>152</v>
      </c>
      <c r="C64" s="572">
        <v>9.9</v>
      </c>
      <c r="D64" s="572">
        <v>7.8090000000000002</v>
      </c>
      <c r="E64" s="596">
        <f t="shared" si="3"/>
        <v>2.0910000000000002</v>
      </c>
      <c r="F64" s="570" t="s">
        <v>151</v>
      </c>
      <c r="G64" s="572">
        <v>9.6</v>
      </c>
      <c r="H64" s="572">
        <v>7.7409999999999997</v>
      </c>
      <c r="I64" s="596">
        <f t="shared" si="4"/>
        <v>1.859</v>
      </c>
      <c r="J64" s="595">
        <f t="shared" si="5"/>
        <v>2</v>
      </c>
      <c r="K64" s="570">
        <v>19</v>
      </c>
      <c r="L64" s="570">
        <v>825</v>
      </c>
    </row>
    <row r="65" spans="1:12" s="569" customFormat="1">
      <c r="A65" s="628"/>
      <c r="B65" s="570" t="s">
        <v>151</v>
      </c>
      <c r="C65" s="572">
        <v>9.6</v>
      </c>
      <c r="D65" s="572">
        <v>7.7409999999999997</v>
      </c>
      <c r="E65" s="596">
        <f t="shared" si="3"/>
        <v>1.859</v>
      </c>
      <c r="F65" s="570" t="s">
        <v>539</v>
      </c>
      <c r="G65" s="572">
        <v>9.5</v>
      </c>
      <c r="H65" s="572">
        <v>7.6929999999999996</v>
      </c>
      <c r="I65" s="596">
        <f t="shared" si="4"/>
        <v>1.8070000000000004</v>
      </c>
      <c r="J65" s="595">
        <f t="shared" si="5"/>
        <v>2</v>
      </c>
      <c r="K65" s="570">
        <v>19</v>
      </c>
      <c r="L65" s="570">
        <v>825</v>
      </c>
    </row>
    <row r="66" spans="1:12" s="569" customFormat="1">
      <c r="A66" s="628"/>
      <c r="B66" s="570" t="s">
        <v>540</v>
      </c>
      <c r="C66" s="572">
        <v>9.9</v>
      </c>
      <c r="D66" s="572">
        <v>8.4030000000000005</v>
      </c>
      <c r="E66" s="596">
        <f t="shared" si="3"/>
        <v>1.4969999999999999</v>
      </c>
      <c r="F66" s="570" t="s">
        <v>152</v>
      </c>
      <c r="G66" s="572">
        <v>9.9</v>
      </c>
      <c r="H66" s="572">
        <v>7.8090000000000002</v>
      </c>
      <c r="I66" s="596">
        <f t="shared" si="4"/>
        <v>2.0910000000000002</v>
      </c>
      <c r="J66" s="595">
        <f t="shared" si="5"/>
        <v>2</v>
      </c>
      <c r="K66" s="570">
        <v>17</v>
      </c>
      <c r="L66" s="570">
        <v>300</v>
      </c>
    </row>
    <row r="67" spans="1:12" s="569" customFormat="1">
      <c r="A67" s="628"/>
      <c r="B67" s="570"/>
      <c r="C67" s="572"/>
      <c r="D67" s="572"/>
      <c r="E67" s="596">
        <f t="shared" si="3"/>
        <v>0</v>
      </c>
      <c r="F67" s="570"/>
      <c r="G67" s="572"/>
      <c r="H67" s="572"/>
      <c r="I67" s="596">
        <f t="shared" si="4"/>
        <v>0</v>
      </c>
      <c r="J67" s="595">
        <f t="shared" si="5"/>
        <v>0</v>
      </c>
      <c r="K67" s="570"/>
      <c r="L67" s="570"/>
    </row>
    <row r="68" spans="1:12" s="569" customFormat="1">
      <c r="A68" s="628"/>
      <c r="B68" s="570" t="s">
        <v>538</v>
      </c>
      <c r="C68" s="572">
        <v>12.2</v>
      </c>
      <c r="D68" s="572">
        <v>9.5</v>
      </c>
      <c r="E68" s="596">
        <f t="shared" si="3"/>
        <v>2.6999999999999993</v>
      </c>
      <c r="F68" s="570" t="s">
        <v>537</v>
      </c>
      <c r="G68" s="572">
        <v>12</v>
      </c>
      <c r="H68" s="572">
        <v>9.4149999999999991</v>
      </c>
      <c r="I68" s="596">
        <f t="shared" si="4"/>
        <v>2.5850000000000009</v>
      </c>
      <c r="J68" s="595">
        <f t="shared" si="5"/>
        <v>2.75</v>
      </c>
      <c r="K68" s="570">
        <v>21</v>
      </c>
      <c r="L68" s="570">
        <v>375</v>
      </c>
    </row>
    <row r="69" spans="1:12" s="569" customFormat="1">
      <c r="A69" s="628"/>
      <c r="B69" s="570" t="s">
        <v>537</v>
      </c>
      <c r="C69" s="572">
        <v>12</v>
      </c>
      <c r="D69" s="572">
        <v>9.4149999999999991</v>
      </c>
      <c r="E69" s="596">
        <f t="shared" si="3"/>
        <v>2.5850000000000009</v>
      </c>
      <c r="F69" s="570" t="s">
        <v>536</v>
      </c>
      <c r="G69" s="572">
        <v>11.65</v>
      </c>
      <c r="H69" s="572">
        <v>9.0549999999999997</v>
      </c>
      <c r="I69" s="596">
        <f t="shared" si="4"/>
        <v>2.5950000000000006</v>
      </c>
      <c r="J69" s="595">
        <f t="shared" si="5"/>
        <v>2.75</v>
      </c>
      <c r="K69" s="570">
        <v>33</v>
      </c>
      <c r="L69" s="570">
        <v>600</v>
      </c>
    </row>
    <row r="70" spans="1:12" s="569" customFormat="1">
      <c r="A70" s="628"/>
      <c r="B70" s="570" t="s">
        <v>536</v>
      </c>
      <c r="C70" s="572">
        <v>11.65</v>
      </c>
      <c r="D70" s="572">
        <v>9.0549999999999997</v>
      </c>
      <c r="E70" s="596">
        <f t="shared" ref="E70:E101" si="6">C70-D70</f>
        <v>2.5950000000000006</v>
      </c>
      <c r="F70" s="570" t="s">
        <v>535</v>
      </c>
      <c r="G70" s="572">
        <v>11.5</v>
      </c>
      <c r="H70" s="572">
        <v>8.6359999999999992</v>
      </c>
      <c r="I70" s="596">
        <f t="shared" ref="I70:I101" si="7">G70-H70</f>
        <v>2.8640000000000008</v>
      </c>
      <c r="J70" s="595">
        <f t="shared" ref="J70:J101" si="8">CEILING((E70+I70)/2,0.25)</f>
        <v>2.75</v>
      </c>
      <c r="K70" s="570">
        <v>29</v>
      </c>
      <c r="L70" s="570">
        <v>600</v>
      </c>
    </row>
    <row r="71" spans="1:12" s="569" customFormat="1">
      <c r="A71" s="628"/>
      <c r="B71" s="570" t="s">
        <v>535</v>
      </c>
      <c r="C71" s="572">
        <v>11.5</v>
      </c>
      <c r="D71" s="572">
        <v>8.6359999999999992</v>
      </c>
      <c r="E71" s="596">
        <f t="shared" si="6"/>
        <v>2.8640000000000008</v>
      </c>
      <c r="F71" s="570" t="s">
        <v>145</v>
      </c>
      <c r="G71" s="572">
        <v>11.3</v>
      </c>
      <c r="H71" s="572">
        <v>9.1890000000000001</v>
      </c>
      <c r="I71" s="596">
        <f t="shared" si="7"/>
        <v>2.1110000000000007</v>
      </c>
      <c r="J71" s="595">
        <f t="shared" si="8"/>
        <v>2.5</v>
      </c>
      <c r="K71" s="570">
        <v>19</v>
      </c>
      <c r="L71" s="570">
        <v>900</v>
      </c>
    </row>
    <row r="72" spans="1:12" s="569" customFormat="1">
      <c r="A72" s="628"/>
      <c r="B72" s="570"/>
      <c r="C72" s="572"/>
      <c r="D72" s="572"/>
      <c r="E72" s="596">
        <f t="shared" si="6"/>
        <v>0</v>
      </c>
      <c r="F72" s="570"/>
      <c r="G72" s="572"/>
      <c r="H72" s="572"/>
      <c r="I72" s="596">
        <f t="shared" si="7"/>
        <v>0</v>
      </c>
      <c r="J72" s="595">
        <f t="shared" si="8"/>
        <v>0</v>
      </c>
      <c r="K72" s="570"/>
      <c r="L72" s="570"/>
    </row>
    <row r="73" spans="1:12" s="569" customFormat="1">
      <c r="A73" s="628"/>
      <c r="B73" s="570" t="s">
        <v>534</v>
      </c>
      <c r="C73" s="572">
        <v>11.1</v>
      </c>
      <c r="D73" s="572">
        <v>9.4510000000000005</v>
      </c>
      <c r="E73" s="596">
        <f t="shared" si="6"/>
        <v>1.6489999999999991</v>
      </c>
      <c r="F73" s="570" t="s">
        <v>146</v>
      </c>
      <c r="G73" s="572">
        <v>11.6</v>
      </c>
      <c r="H73" s="572">
        <v>9.3140000000000001</v>
      </c>
      <c r="I73" s="596">
        <f t="shared" si="7"/>
        <v>2.2859999999999996</v>
      </c>
      <c r="J73" s="595">
        <f t="shared" si="8"/>
        <v>2</v>
      </c>
      <c r="K73" s="570">
        <v>55</v>
      </c>
      <c r="L73" s="570">
        <v>600</v>
      </c>
    </row>
    <row r="74" spans="1:12" s="569" customFormat="1">
      <c r="A74" s="628"/>
      <c r="B74" s="570" t="s">
        <v>146</v>
      </c>
      <c r="C74" s="572">
        <v>11.6</v>
      </c>
      <c r="D74" s="572">
        <v>9.3140000000000001</v>
      </c>
      <c r="E74" s="596">
        <f t="shared" si="6"/>
        <v>2.2859999999999996</v>
      </c>
      <c r="F74" s="570" t="s">
        <v>145</v>
      </c>
      <c r="G74" s="572">
        <v>11.3</v>
      </c>
      <c r="H74" s="572">
        <v>9.1890000000000001</v>
      </c>
      <c r="I74" s="596">
        <f t="shared" si="7"/>
        <v>2.1110000000000007</v>
      </c>
      <c r="J74" s="595">
        <f t="shared" si="8"/>
        <v>2.25</v>
      </c>
      <c r="K74" s="570">
        <v>50</v>
      </c>
      <c r="L74" s="570">
        <v>600</v>
      </c>
    </row>
    <row r="75" spans="1:12" s="569" customFormat="1">
      <c r="A75" s="628"/>
      <c r="B75" s="570"/>
      <c r="C75" s="572"/>
      <c r="D75" s="572"/>
      <c r="E75" s="596">
        <f t="shared" si="6"/>
        <v>0</v>
      </c>
      <c r="F75" s="570"/>
      <c r="G75" s="572"/>
      <c r="H75" s="572"/>
      <c r="I75" s="596">
        <f t="shared" si="7"/>
        <v>0</v>
      </c>
      <c r="J75" s="595">
        <f t="shared" si="8"/>
        <v>0</v>
      </c>
      <c r="K75" s="570"/>
      <c r="L75" s="570"/>
    </row>
    <row r="76" spans="1:12" s="569" customFormat="1">
      <c r="A76" s="628"/>
      <c r="B76" s="570" t="s">
        <v>145</v>
      </c>
      <c r="C76" s="572">
        <v>11.3</v>
      </c>
      <c r="D76" s="572">
        <v>9.1890000000000001</v>
      </c>
      <c r="E76" s="596">
        <f t="shared" si="6"/>
        <v>2.1110000000000007</v>
      </c>
      <c r="F76" s="570" t="s">
        <v>144</v>
      </c>
      <c r="G76" s="572">
        <v>10.7</v>
      </c>
      <c r="H76" s="572">
        <v>8.4930000000000003</v>
      </c>
      <c r="I76" s="596">
        <f t="shared" si="7"/>
        <v>2.206999999999999</v>
      </c>
      <c r="J76" s="595">
        <f t="shared" si="8"/>
        <v>2.25</v>
      </c>
      <c r="K76" s="570">
        <v>39</v>
      </c>
      <c r="L76" s="570">
        <v>900</v>
      </c>
    </row>
    <row r="77" spans="1:12" s="569" customFormat="1">
      <c r="A77" s="628"/>
      <c r="B77" s="570"/>
      <c r="C77" s="572"/>
      <c r="D77" s="572"/>
      <c r="E77" s="596">
        <f t="shared" si="6"/>
        <v>0</v>
      </c>
      <c r="F77" s="570"/>
      <c r="G77" s="572"/>
      <c r="H77" s="572"/>
      <c r="I77" s="596">
        <f t="shared" si="7"/>
        <v>0</v>
      </c>
      <c r="J77" s="595">
        <f t="shared" si="8"/>
        <v>0</v>
      </c>
      <c r="K77" s="570"/>
      <c r="L77" s="570"/>
    </row>
    <row r="78" spans="1:12" s="569" customFormat="1">
      <c r="A78" s="628"/>
      <c r="B78" s="570" t="s">
        <v>147</v>
      </c>
      <c r="C78" s="572">
        <v>11.2</v>
      </c>
      <c r="D78" s="572">
        <v>9.5640000000000001</v>
      </c>
      <c r="E78" s="596">
        <f t="shared" si="6"/>
        <v>1.6359999999999992</v>
      </c>
      <c r="F78" s="570" t="s">
        <v>533</v>
      </c>
      <c r="G78" s="572">
        <v>11.13</v>
      </c>
      <c r="H78" s="572">
        <v>9.3040000000000003</v>
      </c>
      <c r="I78" s="596">
        <f t="shared" si="7"/>
        <v>1.8260000000000005</v>
      </c>
      <c r="J78" s="595">
        <f t="shared" si="8"/>
        <v>1.75</v>
      </c>
      <c r="K78" s="570">
        <v>44</v>
      </c>
      <c r="L78" s="570">
        <v>300</v>
      </c>
    </row>
    <row r="79" spans="1:12" s="569" customFormat="1">
      <c r="A79" s="628"/>
      <c r="B79" s="570" t="s">
        <v>533</v>
      </c>
      <c r="C79" s="572">
        <v>11.13</v>
      </c>
      <c r="D79" s="572">
        <v>9.3040000000000003</v>
      </c>
      <c r="E79" s="596">
        <f t="shared" si="6"/>
        <v>1.8260000000000005</v>
      </c>
      <c r="F79" s="570" t="s">
        <v>144</v>
      </c>
      <c r="G79" s="572">
        <v>10.7</v>
      </c>
      <c r="H79" s="572">
        <v>8.4930000000000003</v>
      </c>
      <c r="I79" s="596">
        <f t="shared" si="7"/>
        <v>2.206999999999999</v>
      </c>
      <c r="J79" s="595">
        <f t="shared" si="8"/>
        <v>2.25</v>
      </c>
      <c r="K79" s="570">
        <v>36</v>
      </c>
      <c r="L79" s="570">
        <v>300</v>
      </c>
    </row>
    <row r="80" spans="1:12" s="569" customFormat="1">
      <c r="A80" s="628"/>
      <c r="B80" s="570"/>
      <c r="C80" s="572"/>
      <c r="D80" s="572"/>
      <c r="E80" s="596">
        <f t="shared" si="6"/>
        <v>0</v>
      </c>
      <c r="F80" s="570"/>
      <c r="G80" s="572"/>
      <c r="H80" s="572"/>
      <c r="I80" s="596">
        <f t="shared" si="7"/>
        <v>0</v>
      </c>
      <c r="J80" s="595">
        <f t="shared" si="8"/>
        <v>0</v>
      </c>
      <c r="K80" s="570"/>
      <c r="L80" s="570"/>
    </row>
    <row r="81" spans="1:12" s="569" customFormat="1">
      <c r="A81" s="628"/>
      <c r="B81" s="570" t="s">
        <v>144</v>
      </c>
      <c r="C81" s="572">
        <v>10.7</v>
      </c>
      <c r="D81" s="572">
        <v>8.4930000000000003</v>
      </c>
      <c r="E81" s="596">
        <f t="shared" si="6"/>
        <v>2.206999999999999</v>
      </c>
      <c r="F81" s="570" t="s">
        <v>143</v>
      </c>
      <c r="G81" s="572">
        <v>10.55</v>
      </c>
      <c r="H81" s="572">
        <v>8.3320000000000007</v>
      </c>
      <c r="I81" s="596">
        <f t="shared" si="7"/>
        <v>2.218</v>
      </c>
      <c r="J81" s="595">
        <f t="shared" si="8"/>
        <v>2.25</v>
      </c>
      <c r="K81" s="570">
        <v>65</v>
      </c>
      <c r="L81" s="570">
        <v>900</v>
      </c>
    </row>
    <row r="82" spans="1:12" s="569" customFormat="1">
      <c r="A82" s="628"/>
      <c r="B82" s="570"/>
      <c r="C82" s="572"/>
      <c r="D82" s="572"/>
      <c r="E82" s="596">
        <f t="shared" si="6"/>
        <v>0</v>
      </c>
      <c r="F82" s="570"/>
      <c r="G82" s="572"/>
      <c r="H82" s="572"/>
      <c r="I82" s="596">
        <f t="shared" si="7"/>
        <v>0</v>
      </c>
      <c r="J82" s="595">
        <f t="shared" si="8"/>
        <v>0</v>
      </c>
      <c r="K82" s="570"/>
      <c r="L82" s="570"/>
    </row>
    <row r="83" spans="1:12" s="569" customFormat="1">
      <c r="A83" s="628"/>
      <c r="B83" s="570" t="s">
        <v>532</v>
      </c>
      <c r="C83" s="572">
        <v>10.9</v>
      </c>
      <c r="D83" s="572">
        <v>9.3670000000000009</v>
      </c>
      <c r="E83" s="596">
        <f t="shared" si="6"/>
        <v>1.5329999999999995</v>
      </c>
      <c r="F83" s="570" t="s">
        <v>149</v>
      </c>
      <c r="G83" s="572">
        <v>11.05</v>
      </c>
      <c r="H83" s="572">
        <v>9.2729999999999997</v>
      </c>
      <c r="I83" s="596">
        <f t="shared" si="7"/>
        <v>1.777000000000001</v>
      </c>
      <c r="J83" s="595">
        <f t="shared" si="8"/>
        <v>1.75</v>
      </c>
      <c r="K83" s="570">
        <v>16</v>
      </c>
      <c r="L83" s="570">
        <v>300</v>
      </c>
    </row>
    <row r="84" spans="1:12" s="569" customFormat="1">
      <c r="A84" s="628"/>
      <c r="B84" s="570" t="s">
        <v>149</v>
      </c>
      <c r="C84" s="572">
        <v>11.05</v>
      </c>
      <c r="D84" s="572">
        <v>9.2729999999999997</v>
      </c>
      <c r="E84" s="596">
        <f t="shared" si="6"/>
        <v>1.777000000000001</v>
      </c>
      <c r="F84" s="570" t="s">
        <v>148</v>
      </c>
      <c r="G84" s="572">
        <v>10.8</v>
      </c>
      <c r="H84" s="572">
        <v>9.141</v>
      </c>
      <c r="I84" s="596">
        <f t="shared" si="7"/>
        <v>1.6590000000000007</v>
      </c>
      <c r="J84" s="595">
        <f t="shared" si="8"/>
        <v>1.75</v>
      </c>
      <c r="K84" s="570">
        <v>23</v>
      </c>
      <c r="L84" s="570">
        <v>300</v>
      </c>
    </row>
    <row r="85" spans="1:12" s="569" customFormat="1">
      <c r="A85" s="628"/>
      <c r="B85" s="570" t="s">
        <v>148</v>
      </c>
      <c r="C85" s="572">
        <v>10.8</v>
      </c>
      <c r="D85" s="572">
        <v>9.141</v>
      </c>
      <c r="E85" s="596">
        <f t="shared" si="6"/>
        <v>1.6590000000000007</v>
      </c>
      <c r="F85" s="570" t="s">
        <v>143</v>
      </c>
      <c r="G85" s="572">
        <v>10.55</v>
      </c>
      <c r="H85" s="572">
        <v>8.3320000000000007</v>
      </c>
      <c r="I85" s="596">
        <f t="shared" si="7"/>
        <v>2.218</v>
      </c>
      <c r="J85" s="595">
        <f t="shared" si="8"/>
        <v>2</v>
      </c>
      <c r="K85" s="570">
        <v>36</v>
      </c>
      <c r="L85" s="570">
        <v>300</v>
      </c>
    </row>
    <row r="86" spans="1:12" s="569" customFormat="1">
      <c r="A86" s="628"/>
      <c r="B86" s="570"/>
      <c r="C86" s="572"/>
      <c r="D86" s="572"/>
      <c r="E86" s="596">
        <f t="shared" si="6"/>
        <v>0</v>
      </c>
      <c r="F86" s="570"/>
      <c r="G86" s="572"/>
      <c r="H86" s="572"/>
      <c r="I86" s="596">
        <f t="shared" si="7"/>
        <v>0</v>
      </c>
      <c r="J86" s="595">
        <f t="shared" si="8"/>
        <v>0</v>
      </c>
      <c r="K86" s="570"/>
      <c r="L86" s="570"/>
    </row>
    <row r="87" spans="1:12" s="569" customFormat="1">
      <c r="A87" s="628"/>
      <c r="B87" s="570" t="s">
        <v>143</v>
      </c>
      <c r="C87" s="572">
        <v>10.55</v>
      </c>
      <c r="D87" s="572">
        <v>8.3320000000000007</v>
      </c>
      <c r="E87" s="596">
        <f t="shared" si="6"/>
        <v>2.218</v>
      </c>
      <c r="F87" s="570" t="s">
        <v>531</v>
      </c>
      <c r="G87" s="572">
        <v>10.3</v>
      </c>
      <c r="H87" s="572">
        <v>8.2520000000000007</v>
      </c>
      <c r="I87" s="596">
        <f t="shared" si="7"/>
        <v>2.048</v>
      </c>
      <c r="J87" s="595">
        <f t="shared" si="8"/>
        <v>2.25</v>
      </c>
      <c r="K87" s="570">
        <v>32</v>
      </c>
      <c r="L87" s="570">
        <v>900</v>
      </c>
    </row>
    <row r="88" spans="1:12" s="569" customFormat="1">
      <c r="A88" s="628"/>
      <c r="B88" s="570" t="s">
        <v>531</v>
      </c>
      <c r="C88" s="572">
        <v>10.3</v>
      </c>
      <c r="D88" s="572">
        <v>8.2520000000000007</v>
      </c>
      <c r="E88" s="596">
        <f t="shared" si="6"/>
        <v>2.048</v>
      </c>
      <c r="F88" s="570" t="s">
        <v>529</v>
      </c>
      <c r="G88" s="572">
        <v>10.45</v>
      </c>
      <c r="H88" s="572">
        <v>8.1769999999999996</v>
      </c>
      <c r="I88" s="596">
        <f t="shared" si="7"/>
        <v>2.2729999999999997</v>
      </c>
      <c r="J88" s="595">
        <f t="shared" si="8"/>
        <v>2.25</v>
      </c>
      <c r="K88" s="570">
        <v>30</v>
      </c>
      <c r="L88" s="570">
        <v>900</v>
      </c>
    </row>
    <row r="89" spans="1:12" s="569" customFormat="1">
      <c r="A89" s="628"/>
      <c r="B89" s="570"/>
      <c r="C89" s="572"/>
      <c r="D89" s="572"/>
      <c r="E89" s="596">
        <f t="shared" si="6"/>
        <v>0</v>
      </c>
      <c r="F89" s="570"/>
      <c r="G89" s="572"/>
      <c r="H89" s="572"/>
      <c r="I89" s="596">
        <f t="shared" si="7"/>
        <v>0</v>
      </c>
      <c r="J89" s="595">
        <f t="shared" si="8"/>
        <v>0</v>
      </c>
      <c r="K89" s="570"/>
      <c r="L89" s="570"/>
    </row>
    <row r="90" spans="1:12" s="569" customFormat="1">
      <c r="A90" s="628"/>
      <c r="B90" s="570" t="s">
        <v>530</v>
      </c>
      <c r="C90" s="572">
        <v>9.9</v>
      </c>
      <c r="D90" s="572">
        <v>8.9179999999999993</v>
      </c>
      <c r="E90" s="596">
        <f t="shared" si="6"/>
        <v>0.98200000000000109</v>
      </c>
      <c r="F90" s="570" t="s">
        <v>529</v>
      </c>
      <c r="G90" s="572">
        <v>10.45</v>
      </c>
      <c r="H90" s="572">
        <v>8.1769999999999996</v>
      </c>
      <c r="I90" s="596">
        <f t="shared" si="7"/>
        <v>2.2729999999999997</v>
      </c>
      <c r="J90" s="595">
        <f t="shared" si="8"/>
        <v>1.75</v>
      </c>
      <c r="K90" s="570">
        <v>34</v>
      </c>
      <c r="L90" s="570">
        <v>300</v>
      </c>
    </row>
    <row r="91" spans="1:12" s="569" customFormat="1">
      <c r="A91" s="628"/>
      <c r="B91" s="570"/>
      <c r="C91" s="572"/>
      <c r="D91" s="572"/>
      <c r="E91" s="596">
        <f t="shared" si="6"/>
        <v>0</v>
      </c>
      <c r="F91" s="570"/>
      <c r="G91" s="572"/>
      <c r="H91" s="572"/>
      <c r="I91" s="596">
        <f t="shared" si="7"/>
        <v>0</v>
      </c>
      <c r="J91" s="595">
        <f t="shared" si="8"/>
        <v>0</v>
      </c>
      <c r="K91" s="570"/>
      <c r="L91" s="570"/>
    </row>
    <row r="92" spans="1:12" s="569" customFormat="1">
      <c r="A92" s="628"/>
      <c r="B92" s="570" t="s">
        <v>529</v>
      </c>
      <c r="C92" s="572">
        <v>10.45</v>
      </c>
      <c r="D92" s="572">
        <v>8.1769999999999996</v>
      </c>
      <c r="E92" s="596">
        <f t="shared" si="6"/>
        <v>2.2729999999999997</v>
      </c>
      <c r="F92" s="570" t="s">
        <v>528</v>
      </c>
      <c r="G92" s="572">
        <v>10.15</v>
      </c>
      <c r="H92" s="572">
        <v>8.1180000000000003</v>
      </c>
      <c r="I92" s="596">
        <f t="shared" si="7"/>
        <v>2.032</v>
      </c>
      <c r="J92" s="595">
        <f t="shared" si="8"/>
        <v>2.25</v>
      </c>
      <c r="K92" s="570">
        <v>24</v>
      </c>
      <c r="L92" s="570">
        <v>900</v>
      </c>
    </row>
    <row r="93" spans="1:12" s="569" customFormat="1">
      <c r="A93" s="628"/>
      <c r="B93" s="570" t="s">
        <v>528</v>
      </c>
      <c r="C93" s="572">
        <v>10.15</v>
      </c>
      <c r="D93" s="572">
        <v>8.1180000000000003</v>
      </c>
      <c r="E93" s="596">
        <f t="shared" si="6"/>
        <v>2.032</v>
      </c>
      <c r="F93" s="570" t="s">
        <v>522</v>
      </c>
      <c r="G93" s="572">
        <v>10</v>
      </c>
      <c r="H93" s="572">
        <v>8.08</v>
      </c>
      <c r="I93" s="596">
        <f t="shared" si="7"/>
        <v>1.92</v>
      </c>
      <c r="J93" s="595">
        <f t="shared" si="8"/>
        <v>2</v>
      </c>
      <c r="K93" s="570">
        <v>15</v>
      </c>
      <c r="L93" s="570">
        <v>900</v>
      </c>
    </row>
    <row r="94" spans="1:12" s="569" customFormat="1">
      <c r="A94" s="628"/>
      <c r="B94" s="570"/>
      <c r="C94" s="572"/>
      <c r="D94" s="572"/>
      <c r="E94" s="596">
        <f t="shared" si="6"/>
        <v>0</v>
      </c>
      <c r="F94" s="570"/>
      <c r="G94" s="572"/>
      <c r="H94" s="572"/>
      <c r="I94" s="596">
        <f t="shared" si="7"/>
        <v>0</v>
      </c>
      <c r="J94" s="595">
        <f t="shared" si="8"/>
        <v>0</v>
      </c>
      <c r="K94" s="570"/>
      <c r="L94" s="570"/>
    </row>
    <row r="95" spans="1:12" s="569" customFormat="1">
      <c r="A95" s="628"/>
      <c r="B95" s="570" t="s">
        <v>527</v>
      </c>
      <c r="C95" s="572">
        <v>9.94</v>
      </c>
      <c r="D95" s="572">
        <v>8.2080000000000002</v>
      </c>
      <c r="E95" s="596">
        <f t="shared" si="6"/>
        <v>1.7319999999999993</v>
      </c>
      <c r="F95" s="570" t="s">
        <v>526</v>
      </c>
      <c r="G95" s="572">
        <v>9.6999999999999993</v>
      </c>
      <c r="H95" s="572">
        <v>8.09</v>
      </c>
      <c r="I95" s="596">
        <f t="shared" si="7"/>
        <v>1.6099999999999994</v>
      </c>
      <c r="J95" s="595">
        <f t="shared" si="8"/>
        <v>1.75</v>
      </c>
      <c r="K95" s="570">
        <v>20</v>
      </c>
      <c r="L95" s="570">
        <v>225</v>
      </c>
    </row>
    <row r="96" spans="1:12" s="569" customFormat="1">
      <c r="A96" s="628"/>
      <c r="B96" s="570" t="s">
        <v>526</v>
      </c>
      <c r="C96" s="572">
        <v>9.6999999999999993</v>
      </c>
      <c r="D96" s="572">
        <v>8.09</v>
      </c>
      <c r="E96" s="596">
        <f t="shared" si="6"/>
        <v>1.6099999999999994</v>
      </c>
      <c r="F96" s="570" t="s">
        <v>521</v>
      </c>
      <c r="G96" s="572">
        <v>9.3000000000000007</v>
      </c>
      <c r="H96" s="572">
        <v>7.9409999999999998</v>
      </c>
      <c r="I96" s="596">
        <f t="shared" si="7"/>
        <v>1.3590000000000009</v>
      </c>
      <c r="J96" s="595">
        <f t="shared" si="8"/>
        <v>1.5</v>
      </c>
      <c r="K96" s="570">
        <v>25</v>
      </c>
      <c r="L96" s="570">
        <v>225</v>
      </c>
    </row>
    <row r="97" spans="1:12" s="569" customFormat="1">
      <c r="A97" s="628"/>
      <c r="B97" s="570"/>
      <c r="C97" s="572"/>
      <c r="D97" s="572"/>
      <c r="E97" s="596">
        <f t="shared" si="6"/>
        <v>0</v>
      </c>
      <c r="F97" s="570"/>
      <c r="G97" s="572"/>
      <c r="H97" s="572"/>
      <c r="I97" s="596">
        <f t="shared" si="7"/>
        <v>0</v>
      </c>
      <c r="J97" s="595">
        <f t="shared" si="8"/>
        <v>0</v>
      </c>
      <c r="K97" s="570"/>
      <c r="L97" s="570"/>
    </row>
    <row r="98" spans="1:12" s="569" customFormat="1">
      <c r="A98" s="628"/>
      <c r="B98" s="570" t="s">
        <v>525</v>
      </c>
      <c r="C98" s="572">
        <v>9.5</v>
      </c>
      <c r="D98" s="572">
        <v>8</v>
      </c>
      <c r="E98" s="596">
        <f t="shared" si="6"/>
        <v>1.5</v>
      </c>
      <c r="F98" s="570" t="s">
        <v>106</v>
      </c>
      <c r="G98" s="572">
        <v>9.6999999999999993</v>
      </c>
      <c r="H98" s="572">
        <v>7.9379999999999997</v>
      </c>
      <c r="I98" s="596">
        <f t="shared" si="7"/>
        <v>1.7619999999999996</v>
      </c>
      <c r="J98" s="595">
        <f t="shared" si="8"/>
        <v>1.75</v>
      </c>
      <c r="K98" s="570">
        <v>15</v>
      </c>
      <c r="L98" s="570">
        <v>300</v>
      </c>
    </row>
    <row r="99" spans="1:12" s="569" customFormat="1">
      <c r="A99" s="628"/>
      <c r="B99" s="570" t="s">
        <v>106</v>
      </c>
      <c r="C99" s="572">
        <v>9.6999999999999993</v>
      </c>
      <c r="D99" s="572">
        <v>7.9379999999999997</v>
      </c>
      <c r="E99" s="596">
        <f t="shared" si="6"/>
        <v>1.7619999999999996</v>
      </c>
      <c r="F99" s="570" t="s">
        <v>520</v>
      </c>
      <c r="G99" s="572">
        <v>9.5</v>
      </c>
      <c r="H99" s="572">
        <v>7.8659999999999997</v>
      </c>
      <c r="I99" s="596">
        <f t="shared" si="7"/>
        <v>1.6340000000000003</v>
      </c>
      <c r="J99" s="595">
        <f t="shared" si="8"/>
        <v>1.75</v>
      </c>
      <c r="K99" s="570">
        <v>18</v>
      </c>
      <c r="L99" s="570">
        <v>300</v>
      </c>
    </row>
    <row r="100" spans="1:12" s="569" customFormat="1">
      <c r="A100" s="628"/>
      <c r="B100" s="570"/>
      <c r="C100" s="572"/>
      <c r="D100" s="572"/>
      <c r="E100" s="596">
        <f t="shared" si="6"/>
        <v>0</v>
      </c>
      <c r="F100" s="570"/>
      <c r="G100" s="572"/>
      <c r="H100" s="572"/>
      <c r="I100" s="596">
        <f t="shared" si="7"/>
        <v>0</v>
      </c>
      <c r="J100" s="595">
        <f t="shared" si="8"/>
        <v>0</v>
      </c>
      <c r="K100" s="570"/>
      <c r="L100" s="570"/>
    </row>
    <row r="101" spans="1:12" s="569" customFormat="1">
      <c r="A101" s="628"/>
      <c r="B101" s="570" t="s">
        <v>524</v>
      </c>
      <c r="C101" s="572">
        <v>9</v>
      </c>
      <c r="D101" s="572">
        <v>7.5</v>
      </c>
      <c r="E101" s="596">
        <f t="shared" si="6"/>
        <v>1.5</v>
      </c>
      <c r="F101" s="570" t="s">
        <v>523</v>
      </c>
      <c r="G101" s="572">
        <v>9</v>
      </c>
      <c r="H101" s="572">
        <v>7.476</v>
      </c>
      <c r="I101" s="596">
        <f t="shared" si="7"/>
        <v>1.524</v>
      </c>
      <c r="J101" s="595">
        <f t="shared" si="8"/>
        <v>1.75</v>
      </c>
      <c r="K101" s="570">
        <v>9</v>
      </c>
      <c r="L101" s="570">
        <v>750</v>
      </c>
    </row>
    <row r="102" spans="1:12" s="569" customFormat="1">
      <c r="A102" s="628"/>
      <c r="B102" s="570" t="s">
        <v>523</v>
      </c>
      <c r="C102" s="572">
        <v>9</v>
      </c>
      <c r="D102" s="572">
        <v>7.476</v>
      </c>
      <c r="E102" s="596">
        <f t="shared" ref="E102:E118" si="9">C102-D102</f>
        <v>1.524</v>
      </c>
      <c r="F102" s="570" t="s">
        <v>582</v>
      </c>
      <c r="G102" s="572">
        <v>9</v>
      </c>
      <c r="H102" s="572">
        <v>7.4660000000000002</v>
      </c>
      <c r="I102" s="596">
        <f t="shared" ref="I102:I118" si="10">G102-H102</f>
        <v>1.5339999999999998</v>
      </c>
      <c r="J102" s="595">
        <f t="shared" ref="J102:J118" si="11">CEILING((E102+I102)/2,0.25)</f>
        <v>1.75</v>
      </c>
      <c r="K102" s="570">
        <v>8</v>
      </c>
      <c r="L102" s="570">
        <v>525</v>
      </c>
    </row>
    <row r="103" spans="1:12" s="569" customFormat="1">
      <c r="A103" s="628"/>
      <c r="B103" s="570"/>
      <c r="C103" s="572"/>
      <c r="D103" s="572"/>
      <c r="E103" s="596">
        <f t="shared" si="9"/>
        <v>0</v>
      </c>
      <c r="F103" s="570"/>
      <c r="G103" s="572"/>
      <c r="H103" s="572"/>
      <c r="I103" s="596">
        <f t="shared" si="10"/>
        <v>0</v>
      </c>
      <c r="J103" s="595">
        <f t="shared" si="11"/>
        <v>0</v>
      </c>
      <c r="K103" s="570"/>
      <c r="L103" s="570"/>
    </row>
    <row r="104" spans="1:12" s="569" customFormat="1">
      <c r="A104" s="628"/>
      <c r="B104" s="570"/>
      <c r="C104" s="572"/>
      <c r="D104" s="572"/>
      <c r="E104" s="596">
        <f t="shared" si="9"/>
        <v>0</v>
      </c>
      <c r="F104" s="570"/>
      <c r="G104" s="572"/>
      <c r="H104" s="572"/>
      <c r="I104" s="596">
        <f t="shared" si="10"/>
        <v>0</v>
      </c>
      <c r="J104" s="595">
        <f t="shared" si="11"/>
        <v>0</v>
      </c>
      <c r="K104" s="570"/>
      <c r="L104" s="570"/>
    </row>
    <row r="105" spans="1:12" s="569" customFormat="1">
      <c r="A105" s="628"/>
      <c r="B105" s="570"/>
      <c r="C105" s="572"/>
      <c r="D105" s="572"/>
      <c r="E105" s="596">
        <f t="shared" si="9"/>
        <v>0</v>
      </c>
      <c r="F105" s="570"/>
      <c r="G105" s="572"/>
      <c r="H105" s="572"/>
      <c r="I105" s="596">
        <f t="shared" si="10"/>
        <v>0</v>
      </c>
      <c r="J105" s="595">
        <f t="shared" si="11"/>
        <v>0</v>
      </c>
      <c r="K105" s="570"/>
      <c r="L105" s="570"/>
    </row>
    <row r="106" spans="1:12" s="569" customFormat="1">
      <c r="A106" s="628"/>
      <c r="B106" s="570"/>
      <c r="C106" s="572"/>
      <c r="D106" s="572"/>
      <c r="E106" s="596">
        <f t="shared" si="9"/>
        <v>0</v>
      </c>
      <c r="F106" s="570"/>
      <c r="G106" s="572"/>
      <c r="H106" s="572"/>
      <c r="I106" s="596">
        <f t="shared" si="10"/>
        <v>0</v>
      </c>
      <c r="J106" s="595">
        <f t="shared" si="11"/>
        <v>0</v>
      </c>
      <c r="K106" s="570"/>
      <c r="L106" s="570"/>
    </row>
    <row r="107" spans="1:12" s="569" customFormat="1">
      <c r="A107" s="628"/>
      <c r="B107" s="570"/>
      <c r="C107" s="572"/>
      <c r="D107" s="572"/>
      <c r="E107" s="596">
        <f t="shared" si="9"/>
        <v>0</v>
      </c>
      <c r="F107" s="570"/>
      <c r="G107" s="572"/>
      <c r="H107" s="572"/>
      <c r="I107" s="596">
        <f t="shared" si="10"/>
        <v>0</v>
      </c>
      <c r="J107" s="595">
        <f t="shared" si="11"/>
        <v>0</v>
      </c>
      <c r="K107" s="570"/>
      <c r="L107" s="570"/>
    </row>
    <row r="108" spans="1:12" s="569" customFormat="1">
      <c r="A108" s="628"/>
      <c r="B108" s="570"/>
      <c r="C108" s="572"/>
      <c r="D108" s="572"/>
      <c r="E108" s="596">
        <f t="shared" si="9"/>
        <v>0</v>
      </c>
      <c r="F108" s="570"/>
      <c r="G108" s="572"/>
      <c r="H108" s="572"/>
      <c r="I108" s="596">
        <f t="shared" si="10"/>
        <v>0</v>
      </c>
      <c r="J108" s="595">
        <f t="shared" si="11"/>
        <v>0</v>
      </c>
      <c r="K108" s="570"/>
      <c r="L108" s="570"/>
    </row>
    <row r="109" spans="1:12" s="569" customFormat="1">
      <c r="A109" s="628"/>
      <c r="B109" s="570"/>
      <c r="C109" s="572"/>
      <c r="D109" s="572"/>
      <c r="E109" s="596">
        <f t="shared" si="9"/>
        <v>0</v>
      </c>
      <c r="F109" s="570"/>
      <c r="G109" s="572"/>
      <c r="H109" s="572"/>
      <c r="I109" s="596">
        <f t="shared" si="10"/>
        <v>0</v>
      </c>
      <c r="J109" s="595">
        <f t="shared" si="11"/>
        <v>0</v>
      </c>
      <c r="K109" s="570"/>
      <c r="L109" s="570"/>
    </row>
    <row r="110" spans="1:12" s="569" customFormat="1">
      <c r="A110" s="628"/>
      <c r="B110" s="570"/>
      <c r="C110" s="572"/>
      <c r="D110" s="572"/>
      <c r="E110" s="596">
        <f t="shared" si="9"/>
        <v>0</v>
      </c>
      <c r="F110" s="570"/>
      <c r="G110" s="572"/>
      <c r="H110" s="572"/>
      <c r="I110" s="596">
        <f t="shared" si="10"/>
        <v>0</v>
      </c>
      <c r="J110" s="595">
        <f t="shared" si="11"/>
        <v>0</v>
      </c>
      <c r="K110" s="570"/>
      <c r="L110" s="570"/>
    </row>
    <row r="111" spans="1:12" s="569" customFormat="1">
      <c r="A111" s="628"/>
      <c r="B111" s="570"/>
      <c r="C111" s="572"/>
      <c r="D111" s="572"/>
      <c r="E111" s="596">
        <f t="shared" si="9"/>
        <v>0</v>
      </c>
      <c r="F111" s="570"/>
      <c r="G111" s="572"/>
      <c r="H111" s="572"/>
      <c r="I111" s="596">
        <f t="shared" si="10"/>
        <v>0</v>
      </c>
      <c r="J111" s="595">
        <f t="shared" si="11"/>
        <v>0</v>
      </c>
      <c r="K111" s="570"/>
      <c r="L111" s="570"/>
    </row>
    <row r="112" spans="1:12" s="569" customFormat="1">
      <c r="A112" s="628"/>
      <c r="B112" s="570"/>
      <c r="C112" s="572"/>
      <c r="D112" s="572"/>
      <c r="E112" s="596">
        <f t="shared" si="9"/>
        <v>0</v>
      </c>
      <c r="F112" s="570"/>
      <c r="G112" s="572"/>
      <c r="H112" s="572"/>
      <c r="I112" s="596">
        <f t="shared" si="10"/>
        <v>0</v>
      </c>
      <c r="J112" s="595">
        <f t="shared" si="11"/>
        <v>0</v>
      </c>
      <c r="K112" s="570"/>
      <c r="L112" s="570"/>
    </row>
    <row r="113" spans="1:13" s="569" customFormat="1">
      <c r="A113" s="628"/>
      <c r="B113" s="570"/>
      <c r="C113" s="572"/>
      <c r="D113" s="572"/>
      <c r="E113" s="596">
        <f t="shared" si="9"/>
        <v>0</v>
      </c>
      <c r="F113" s="570"/>
      <c r="G113" s="572"/>
      <c r="H113" s="572"/>
      <c r="I113" s="596">
        <f t="shared" si="10"/>
        <v>0</v>
      </c>
      <c r="J113" s="595">
        <f t="shared" si="11"/>
        <v>0</v>
      </c>
      <c r="K113" s="570"/>
      <c r="L113" s="570"/>
    </row>
    <row r="114" spans="1:13" s="569" customFormat="1">
      <c r="A114" s="628"/>
      <c r="B114" s="570"/>
      <c r="C114" s="572"/>
      <c r="D114" s="572"/>
      <c r="E114" s="596">
        <f t="shared" si="9"/>
        <v>0</v>
      </c>
      <c r="F114" s="570"/>
      <c r="G114" s="572"/>
      <c r="H114" s="572"/>
      <c r="I114" s="596">
        <f t="shared" si="10"/>
        <v>0</v>
      </c>
      <c r="J114" s="595">
        <f t="shared" si="11"/>
        <v>0</v>
      </c>
      <c r="K114" s="570"/>
      <c r="L114" s="570"/>
    </row>
    <row r="115" spans="1:13" s="569" customFormat="1">
      <c r="A115" s="628"/>
      <c r="B115" s="570"/>
      <c r="C115" s="572"/>
      <c r="D115" s="572"/>
      <c r="E115" s="596">
        <f t="shared" si="9"/>
        <v>0</v>
      </c>
      <c r="F115" s="570"/>
      <c r="G115" s="572"/>
      <c r="H115" s="572"/>
      <c r="I115" s="596">
        <f t="shared" si="10"/>
        <v>0</v>
      </c>
      <c r="J115" s="595">
        <f t="shared" si="11"/>
        <v>0</v>
      </c>
      <c r="K115" s="570"/>
      <c r="L115" s="570"/>
    </row>
    <row r="116" spans="1:13" s="569" customFormat="1">
      <c r="A116" s="628"/>
      <c r="B116" s="570"/>
      <c r="C116" s="572"/>
      <c r="D116" s="572"/>
      <c r="E116" s="596">
        <f t="shared" si="9"/>
        <v>0</v>
      </c>
      <c r="F116" s="570"/>
      <c r="G116" s="572"/>
      <c r="H116" s="572"/>
      <c r="I116" s="596">
        <f t="shared" si="10"/>
        <v>0</v>
      </c>
      <c r="J116" s="595">
        <f t="shared" si="11"/>
        <v>0</v>
      </c>
      <c r="K116" s="570"/>
      <c r="L116" s="570"/>
    </row>
    <row r="117" spans="1:13" s="569" customFormat="1">
      <c r="A117" s="628"/>
      <c r="B117" s="570"/>
      <c r="C117" s="572"/>
      <c r="D117" s="572"/>
      <c r="E117" s="596">
        <f t="shared" si="9"/>
        <v>0</v>
      </c>
      <c r="F117" s="570"/>
      <c r="G117" s="572"/>
      <c r="H117" s="572"/>
      <c r="I117" s="596">
        <f t="shared" si="10"/>
        <v>0</v>
      </c>
      <c r="J117" s="595">
        <f t="shared" si="11"/>
        <v>0</v>
      </c>
      <c r="K117" s="570"/>
      <c r="L117" s="570"/>
    </row>
    <row r="118" spans="1:13" s="569" customFormat="1">
      <c r="A118" s="628"/>
      <c r="B118" s="570"/>
      <c r="C118" s="572"/>
      <c r="D118" s="572"/>
      <c r="E118" s="596">
        <f t="shared" si="9"/>
        <v>0</v>
      </c>
      <c r="F118" s="570"/>
      <c r="G118" s="572"/>
      <c r="H118" s="572"/>
      <c r="I118" s="596">
        <f t="shared" si="10"/>
        <v>0</v>
      </c>
      <c r="J118" s="595">
        <f t="shared" si="11"/>
        <v>0</v>
      </c>
      <c r="K118" s="570"/>
      <c r="L118" s="570"/>
    </row>
    <row r="119" spans="1:13" s="569" customFormat="1" ht="8" customHeight="1">
      <c r="A119" s="628"/>
      <c r="B119" s="586"/>
      <c r="C119" s="586"/>
      <c r="D119" s="586"/>
      <c r="E119" s="568"/>
      <c r="F119" s="568"/>
      <c r="G119" s="568"/>
      <c r="H119" s="568"/>
      <c r="I119" s="568"/>
      <c r="J119" s="568"/>
      <c r="K119" s="586"/>
      <c r="L119" s="627"/>
    </row>
    <row r="120" spans="1:13" s="569" customFormat="1" ht="15.5" customHeight="1">
      <c r="A120" s="626"/>
      <c r="B120" s="594"/>
      <c r="C120" s="594"/>
      <c r="D120" s="594"/>
      <c r="E120" s="593"/>
      <c r="F120" s="593"/>
      <c r="G120" s="593"/>
      <c r="H120" s="593"/>
      <c r="I120" s="593"/>
      <c r="J120" s="592" t="s">
        <v>65</v>
      </c>
      <c r="K120" s="591">
        <f>SUM(K6:K118)</f>
        <v>1694</v>
      </c>
      <c r="L120" s="590"/>
    </row>
    <row r="121" spans="1:13" s="569" customFormat="1" ht="20" customHeight="1">
      <c r="A121" s="625" t="s">
        <v>43</v>
      </c>
      <c r="B121" s="588"/>
      <c r="C121" s="588"/>
      <c r="D121" s="588"/>
      <c r="E121" s="587"/>
      <c r="F121" s="568"/>
      <c r="G121" s="568"/>
      <c r="H121" s="568"/>
      <c r="I121" s="568"/>
      <c r="J121" s="568"/>
      <c r="K121" s="568"/>
      <c r="L121" s="586"/>
    </row>
    <row r="122" spans="1:13" ht="16">
      <c r="A122" s="624" t="s">
        <v>40</v>
      </c>
      <c r="B122" s="581"/>
      <c r="C122" s="581"/>
      <c r="D122" s="581"/>
      <c r="E122" s="623"/>
      <c r="F122" s="581"/>
      <c r="G122" s="581"/>
      <c r="H122" s="582"/>
      <c r="I122" s="582"/>
      <c r="J122" s="581"/>
      <c r="K122" s="581"/>
      <c r="L122" s="567"/>
      <c r="M122" s="569"/>
    </row>
    <row r="123" spans="1:13" ht="21" customHeight="1">
      <c r="A123" s="622" t="s">
        <v>0</v>
      </c>
      <c r="B123" s="579" t="s">
        <v>56</v>
      </c>
      <c r="C123" s="579" t="s">
        <v>57</v>
      </c>
      <c r="D123" s="579" t="s">
        <v>37</v>
      </c>
      <c r="E123" s="578" t="s">
        <v>70</v>
      </c>
      <c r="M123" s="569"/>
    </row>
    <row r="124" spans="1:13">
      <c r="A124" s="570"/>
      <c r="B124" s="572"/>
      <c r="C124" s="572"/>
      <c r="D124" s="621">
        <f t="shared" ref="D124:D155" si="12">CEILING(B124-C124,0.25)</f>
        <v>0</v>
      </c>
      <c r="E124" s="570"/>
      <c r="M124" s="569"/>
    </row>
    <row r="125" spans="1:13">
      <c r="A125" s="570" t="s">
        <v>581</v>
      </c>
      <c r="B125" s="572">
        <v>12</v>
      </c>
      <c r="C125" s="572">
        <v>9.125</v>
      </c>
      <c r="D125" s="620">
        <f t="shared" si="12"/>
        <v>3</v>
      </c>
      <c r="E125" s="570">
        <v>750</v>
      </c>
      <c r="M125" s="569"/>
    </row>
    <row r="126" spans="1:13">
      <c r="A126" s="570" t="s">
        <v>580</v>
      </c>
      <c r="B126" s="572">
        <v>11.9</v>
      </c>
      <c r="C126" s="572">
        <v>9.0050000000000008</v>
      </c>
      <c r="D126" s="620">
        <f t="shared" si="12"/>
        <v>3</v>
      </c>
      <c r="E126" s="570">
        <v>750</v>
      </c>
      <c r="M126" s="569"/>
    </row>
    <row r="127" spans="1:13">
      <c r="A127" s="570" t="s">
        <v>579</v>
      </c>
      <c r="B127" s="572">
        <v>11.4</v>
      </c>
      <c r="C127" s="572">
        <v>8.9420000000000002</v>
      </c>
      <c r="D127" s="620">
        <f t="shared" si="12"/>
        <v>2.5</v>
      </c>
      <c r="E127" s="570">
        <v>750</v>
      </c>
      <c r="M127" s="569"/>
    </row>
    <row r="128" spans="1:13">
      <c r="A128" s="570" t="s">
        <v>578</v>
      </c>
      <c r="B128" s="572">
        <v>11.3</v>
      </c>
      <c r="C128" s="572">
        <v>8.9079999999999995</v>
      </c>
      <c r="D128" s="620">
        <f t="shared" si="12"/>
        <v>2.5</v>
      </c>
      <c r="E128" s="570">
        <v>750</v>
      </c>
      <c r="M128" s="569"/>
    </row>
    <row r="129" spans="1:13">
      <c r="A129" s="570" t="s">
        <v>577</v>
      </c>
      <c r="B129" s="572">
        <v>11.1</v>
      </c>
      <c r="C129" s="572">
        <v>8.8770000000000007</v>
      </c>
      <c r="D129" s="620">
        <f t="shared" si="12"/>
        <v>2.25</v>
      </c>
      <c r="E129" s="570">
        <v>750</v>
      </c>
      <c r="M129" s="569"/>
    </row>
    <row r="130" spans="1:13">
      <c r="A130" s="570" t="s">
        <v>569</v>
      </c>
      <c r="B130" s="572">
        <v>11</v>
      </c>
      <c r="C130" s="572">
        <v>8.8490000000000002</v>
      </c>
      <c r="D130" s="620">
        <f t="shared" si="12"/>
        <v>2.25</v>
      </c>
      <c r="E130" s="570">
        <v>750</v>
      </c>
      <c r="M130" s="569"/>
    </row>
    <row r="131" spans="1:13">
      <c r="A131" s="570" t="s">
        <v>576</v>
      </c>
      <c r="B131" s="572">
        <v>10.8</v>
      </c>
      <c r="C131" s="572">
        <v>8.7789999999999999</v>
      </c>
      <c r="D131" s="620">
        <f t="shared" si="12"/>
        <v>2.25</v>
      </c>
      <c r="E131" s="570">
        <v>750</v>
      </c>
      <c r="M131" s="569"/>
    </row>
    <row r="132" spans="1:13">
      <c r="A132" s="570"/>
      <c r="B132" s="572"/>
      <c r="C132" s="572"/>
      <c r="D132" s="620">
        <f t="shared" si="12"/>
        <v>0</v>
      </c>
      <c r="E132" s="570"/>
      <c r="M132" s="569"/>
    </row>
    <row r="133" spans="1:13">
      <c r="A133" s="570" t="s">
        <v>575</v>
      </c>
      <c r="B133" s="572">
        <v>11</v>
      </c>
      <c r="C133" s="572">
        <v>8.74</v>
      </c>
      <c r="D133" s="620">
        <f t="shared" si="12"/>
        <v>2.5</v>
      </c>
      <c r="E133" s="570">
        <v>900</v>
      </c>
      <c r="M133" s="569"/>
    </row>
    <row r="134" spans="1:13">
      <c r="A134" s="570"/>
      <c r="B134" s="572"/>
      <c r="C134" s="572"/>
      <c r="D134" s="620">
        <f t="shared" si="12"/>
        <v>0</v>
      </c>
      <c r="E134" s="570"/>
      <c r="M134" s="569"/>
    </row>
    <row r="135" spans="1:13">
      <c r="A135" s="570" t="s">
        <v>574</v>
      </c>
      <c r="B135" s="572">
        <v>10.7</v>
      </c>
      <c r="C135" s="572">
        <v>8.5779999999999994</v>
      </c>
      <c r="D135" s="620">
        <f t="shared" si="12"/>
        <v>2.25</v>
      </c>
      <c r="E135" s="570">
        <v>900</v>
      </c>
      <c r="M135" s="569"/>
    </row>
    <row r="136" spans="1:13">
      <c r="A136" s="570" t="s">
        <v>573</v>
      </c>
      <c r="B136" s="572">
        <v>10.8</v>
      </c>
      <c r="C136" s="572">
        <v>8.5429999999999993</v>
      </c>
      <c r="D136" s="620">
        <f t="shared" si="12"/>
        <v>2.5</v>
      </c>
      <c r="E136" s="570">
        <v>900</v>
      </c>
      <c r="M136" s="569"/>
    </row>
    <row r="137" spans="1:13">
      <c r="A137" s="570" t="s">
        <v>572</v>
      </c>
      <c r="B137" s="572">
        <v>11</v>
      </c>
      <c r="C137" s="572">
        <v>8.5069999999999997</v>
      </c>
      <c r="D137" s="620">
        <f t="shared" si="12"/>
        <v>2.5</v>
      </c>
      <c r="E137" s="570">
        <v>900</v>
      </c>
      <c r="M137" s="569"/>
    </row>
    <row r="138" spans="1:13">
      <c r="A138" s="570" t="s">
        <v>571</v>
      </c>
      <c r="B138" s="572">
        <v>11</v>
      </c>
      <c r="C138" s="572">
        <v>8.4629999999999992</v>
      </c>
      <c r="D138" s="620">
        <f t="shared" si="12"/>
        <v>2.75</v>
      </c>
      <c r="E138" s="570">
        <v>900</v>
      </c>
      <c r="M138" s="569"/>
    </row>
    <row r="139" spans="1:13">
      <c r="A139" s="570"/>
      <c r="B139" s="572"/>
      <c r="C139" s="572"/>
      <c r="D139" s="620">
        <f t="shared" si="12"/>
        <v>0</v>
      </c>
      <c r="E139" s="570"/>
      <c r="M139" s="569"/>
    </row>
    <row r="140" spans="1:13">
      <c r="A140" s="570" t="s">
        <v>570</v>
      </c>
      <c r="B140" s="572">
        <v>11.3</v>
      </c>
      <c r="C140" s="572">
        <v>9.4</v>
      </c>
      <c r="D140" s="620">
        <f t="shared" si="12"/>
        <v>2</v>
      </c>
      <c r="E140" s="570">
        <v>300</v>
      </c>
      <c r="M140" s="569"/>
    </row>
    <row r="141" spans="1:13">
      <c r="A141" s="570" t="s">
        <v>569</v>
      </c>
      <c r="B141" s="572">
        <v>11</v>
      </c>
      <c r="C141" s="572">
        <v>9.2029999999999994</v>
      </c>
      <c r="D141" s="620">
        <f t="shared" si="12"/>
        <v>2</v>
      </c>
      <c r="E141" s="570">
        <v>300</v>
      </c>
      <c r="M141" s="569"/>
    </row>
    <row r="142" spans="1:13">
      <c r="A142" s="570"/>
      <c r="B142" s="572"/>
      <c r="C142" s="572"/>
      <c r="D142" s="620">
        <f t="shared" si="12"/>
        <v>0</v>
      </c>
      <c r="E142" s="570"/>
      <c r="M142" s="569"/>
    </row>
    <row r="143" spans="1:13">
      <c r="A143" s="570" t="s">
        <v>568</v>
      </c>
      <c r="B143" s="572">
        <v>10.8</v>
      </c>
      <c r="C143" s="572">
        <v>8.4149999999999991</v>
      </c>
      <c r="D143" s="620">
        <f t="shared" si="12"/>
        <v>2.5</v>
      </c>
      <c r="E143" s="570">
        <v>900</v>
      </c>
      <c r="M143" s="569"/>
    </row>
    <row r="144" spans="1:13">
      <c r="A144" s="570" t="s">
        <v>567</v>
      </c>
      <c r="B144" s="572">
        <v>10.95</v>
      </c>
      <c r="C144" s="572">
        <v>8.31</v>
      </c>
      <c r="D144" s="620">
        <f t="shared" si="12"/>
        <v>2.75</v>
      </c>
      <c r="E144" s="570">
        <v>900</v>
      </c>
      <c r="M144" s="569"/>
    </row>
    <row r="145" spans="1:13">
      <c r="A145" s="570"/>
      <c r="B145" s="572"/>
      <c r="C145" s="572"/>
      <c r="D145" s="620">
        <f t="shared" si="12"/>
        <v>0</v>
      </c>
      <c r="E145" s="570"/>
      <c r="M145" s="569"/>
    </row>
    <row r="146" spans="1:13">
      <c r="A146" s="570" t="s">
        <v>566</v>
      </c>
      <c r="B146" s="572">
        <v>10.9</v>
      </c>
      <c r="C146" s="572">
        <v>9.4019999999999992</v>
      </c>
      <c r="D146" s="620">
        <f t="shared" si="12"/>
        <v>1.5</v>
      </c>
      <c r="E146" s="570">
        <v>300</v>
      </c>
      <c r="M146" s="569"/>
    </row>
    <row r="147" spans="1:13">
      <c r="A147" s="570" t="s">
        <v>565</v>
      </c>
      <c r="B147" s="572">
        <v>10.85</v>
      </c>
      <c r="C147" s="572">
        <v>9.266</v>
      </c>
      <c r="D147" s="620">
        <f t="shared" si="12"/>
        <v>1.75</v>
      </c>
      <c r="E147" s="570">
        <v>300</v>
      </c>
      <c r="M147" s="569"/>
    </row>
    <row r="148" spans="1:13">
      <c r="A148" s="570"/>
      <c r="B148" s="572"/>
      <c r="C148" s="572"/>
      <c r="D148" s="620">
        <f t="shared" si="12"/>
        <v>0</v>
      </c>
      <c r="E148" s="570"/>
      <c r="M148" s="569"/>
    </row>
    <row r="149" spans="1:13">
      <c r="A149" s="570" t="s">
        <v>564</v>
      </c>
      <c r="B149" s="572">
        <v>11.15</v>
      </c>
      <c r="C149" s="572">
        <v>8.26</v>
      </c>
      <c r="D149" s="620">
        <f t="shared" si="12"/>
        <v>3</v>
      </c>
      <c r="E149" s="570">
        <v>900</v>
      </c>
      <c r="M149" s="569"/>
    </row>
    <row r="150" spans="1:13">
      <c r="A150" s="570" t="s">
        <v>563</v>
      </c>
      <c r="B150" s="572">
        <v>10.9</v>
      </c>
      <c r="C150" s="572">
        <v>8.1920000000000002</v>
      </c>
      <c r="D150" s="620">
        <f t="shared" si="12"/>
        <v>2.75</v>
      </c>
      <c r="E150" s="570">
        <v>900</v>
      </c>
      <c r="M150" s="569"/>
    </row>
    <row r="151" spans="1:13">
      <c r="A151" s="570" t="s">
        <v>562</v>
      </c>
      <c r="B151" s="572">
        <v>10.7</v>
      </c>
      <c r="C151" s="572">
        <v>8.1440000000000001</v>
      </c>
      <c r="D151" s="620">
        <f t="shared" si="12"/>
        <v>2.75</v>
      </c>
      <c r="E151" s="570">
        <v>900</v>
      </c>
      <c r="M151" s="569"/>
    </row>
    <row r="152" spans="1:13">
      <c r="A152" s="570"/>
      <c r="B152" s="572"/>
      <c r="C152" s="572"/>
      <c r="D152" s="620">
        <f t="shared" si="12"/>
        <v>0</v>
      </c>
      <c r="E152" s="570"/>
      <c r="M152" s="569"/>
    </row>
    <row r="153" spans="1:13">
      <c r="A153" s="570" t="s">
        <v>561</v>
      </c>
      <c r="B153" s="572">
        <v>11.2</v>
      </c>
      <c r="C153" s="572">
        <v>9.5350000000000001</v>
      </c>
      <c r="D153" s="620">
        <f t="shared" si="12"/>
        <v>1.75</v>
      </c>
      <c r="E153" s="570">
        <v>300</v>
      </c>
      <c r="M153" s="569"/>
    </row>
    <row r="154" spans="1:13">
      <c r="A154" s="570" t="s">
        <v>560</v>
      </c>
      <c r="B154" s="572">
        <v>11.1</v>
      </c>
      <c r="C154" s="572">
        <v>9.4640000000000004</v>
      </c>
      <c r="D154" s="620">
        <f t="shared" si="12"/>
        <v>1.75</v>
      </c>
      <c r="E154" s="570">
        <v>300</v>
      </c>
      <c r="M154" s="569"/>
    </row>
    <row r="155" spans="1:13">
      <c r="A155" s="570" t="s">
        <v>559</v>
      </c>
      <c r="B155" s="572">
        <v>10.95</v>
      </c>
      <c r="C155" s="572">
        <v>9.2560000000000002</v>
      </c>
      <c r="D155" s="620">
        <f t="shared" si="12"/>
        <v>1.75</v>
      </c>
      <c r="E155" s="570">
        <v>450</v>
      </c>
      <c r="M155" s="569"/>
    </row>
    <row r="156" spans="1:13">
      <c r="A156" s="570" t="s">
        <v>558</v>
      </c>
      <c r="B156" s="572">
        <v>10.96</v>
      </c>
      <c r="C156" s="572">
        <v>9.1210000000000004</v>
      </c>
      <c r="D156" s="620">
        <f t="shared" ref="D156:D187" si="13">CEILING(B156-C156,0.25)</f>
        <v>2</v>
      </c>
      <c r="E156" s="570">
        <v>450</v>
      </c>
      <c r="M156" s="569"/>
    </row>
    <row r="157" spans="1:13">
      <c r="A157" s="570"/>
      <c r="B157" s="572"/>
      <c r="C157" s="572"/>
      <c r="D157" s="620">
        <f t="shared" si="13"/>
        <v>0</v>
      </c>
      <c r="E157" s="570"/>
      <c r="M157" s="569"/>
    </row>
    <row r="158" spans="1:13">
      <c r="A158" s="570" t="s">
        <v>557</v>
      </c>
      <c r="B158" s="572">
        <v>11.3</v>
      </c>
      <c r="C158" s="572">
        <v>9.3829999999999991</v>
      </c>
      <c r="D158" s="620">
        <f t="shared" si="13"/>
        <v>2</v>
      </c>
      <c r="E158" s="570">
        <v>225</v>
      </c>
      <c r="M158" s="569"/>
    </row>
    <row r="159" spans="1:13">
      <c r="A159" s="570" t="s">
        <v>556</v>
      </c>
      <c r="B159" s="572">
        <v>11.28</v>
      </c>
      <c r="C159" s="572">
        <v>9.3140000000000001</v>
      </c>
      <c r="D159" s="620">
        <f t="shared" si="13"/>
        <v>2</v>
      </c>
      <c r="E159" s="570">
        <v>225</v>
      </c>
      <c r="M159" s="569"/>
    </row>
    <row r="160" spans="1:13">
      <c r="A160" s="570" t="s">
        <v>555</v>
      </c>
      <c r="B160" s="572">
        <v>11.15</v>
      </c>
      <c r="C160" s="572">
        <v>9.1720000000000006</v>
      </c>
      <c r="D160" s="620">
        <f t="shared" si="13"/>
        <v>2</v>
      </c>
      <c r="E160" s="570">
        <v>300</v>
      </c>
      <c r="M160" s="569"/>
    </row>
    <row r="161" spans="1:13">
      <c r="A161" s="570"/>
      <c r="B161" s="572"/>
      <c r="C161" s="572"/>
      <c r="D161" s="620">
        <f t="shared" si="13"/>
        <v>0</v>
      </c>
      <c r="E161" s="570"/>
      <c r="M161" s="569"/>
    </row>
    <row r="162" spans="1:13">
      <c r="A162" s="570" t="s">
        <v>554</v>
      </c>
      <c r="B162" s="572">
        <v>11.2</v>
      </c>
      <c r="C162" s="572">
        <v>8.8789999999999996</v>
      </c>
      <c r="D162" s="620">
        <f t="shared" si="13"/>
        <v>2.5</v>
      </c>
      <c r="E162" s="570">
        <v>525</v>
      </c>
      <c r="M162" s="569"/>
    </row>
    <row r="163" spans="1:13">
      <c r="A163" s="570" t="s">
        <v>553</v>
      </c>
      <c r="B163" s="572">
        <v>10.96</v>
      </c>
      <c r="C163" s="572">
        <v>8.8000000000000007</v>
      </c>
      <c r="D163" s="620">
        <f t="shared" si="13"/>
        <v>2.25</v>
      </c>
      <c r="E163" s="570">
        <v>525</v>
      </c>
      <c r="M163" s="569"/>
    </row>
    <row r="164" spans="1:13">
      <c r="A164" s="570" t="s">
        <v>552</v>
      </c>
      <c r="B164" s="572">
        <v>10.76</v>
      </c>
      <c r="C164" s="572">
        <v>8.718</v>
      </c>
      <c r="D164" s="620">
        <f t="shared" si="13"/>
        <v>2.25</v>
      </c>
      <c r="E164" s="570">
        <v>525</v>
      </c>
      <c r="M164" s="569"/>
    </row>
    <row r="165" spans="1:13">
      <c r="A165" s="570"/>
      <c r="B165" s="572"/>
      <c r="C165" s="572"/>
      <c r="D165" s="620">
        <f t="shared" si="13"/>
        <v>0</v>
      </c>
      <c r="E165" s="570"/>
      <c r="M165" s="569"/>
    </row>
    <row r="166" spans="1:13">
      <c r="A166" s="570" t="s">
        <v>551</v>
      </c>
      <c r="B166" s="572">
        <v>10.65</v>
      </c>
      <c r="C166" s="572">
        <v>9.0540000000000003</v>
      </c>
      <c r="D166" s="620">
        <f t="shared" si="13"/>
        <v>1.75</v>
      </c>
      <c r="E166" s="570">
        <v>225</v>
      </c>
      <c r="M166" s="569"/>
    </row>
    <row r="167" spans="1:13">
      <c r="A167" s="570"/>
      <c r="B167" s="572"/>
      <c r="C167" s="572"/>
      <c r="D167" s="620">
        <f t="shared" si="13"/>
        <v>0</v>
      </c>
      <c r="E167" s="570"/>
      <c r="M167" s="569"/>
    </row>
    <row r="168" spans="1:13">
      <c r="A168" s="570" t="s">
        <v>550</v>
      </c>
      <c r="B168" s="572">
        <v>10.66</v>
      </c>
      <c r="C168" s="572">
        <v>8.3439999999999994</v>
      </c>
      <c r="D168" s="620">
        <f t="shared" si="13"/>
        <v>2.5</v>
      </c>
      <c r="E168" s="570">
        <v>600</v>
      </c>
      <c r="M168" s="569"/>
    </row>
    <row r="169" spans="1:13">
      <c r="A169" s="570" t="s">
        <v>549</v>
      </c>
      <c r="B169" s="572">
        <v>10.5</v>
      </c>
      <c r="C169" s="572">
        <v>8.5660000000000007</v>
      </c>
      <c r="D169" s="620">
        <f t="shared" si="13"/>
        <v>2</v>
      </c>
      <c r="E169" s="570">
        <v>600</v>
      </c>
      <c r="M169" s="569"/>
    </row>
    <row r="170" spans="1:13">
      <c r="A170" s="570" t="s">
        <v>548</v>
      </c>
      <c r="B170" s="572">
        <v>10.6</v>
      </c>
      <c r="C170" s="572">
        <v>8.5399999999999991</v>
      </c>
      <c r="D170" s="620">
        <f t="shared" si="13"/>
        <v>2.25</v>
      </c>
      <c r="E170" s="570">
        <v>600</v>
      </c>
      <c r="M170" s="569"/>
    </row>
    <row r="171" spans="1:13">
      <c r="A171" s="570" t="s">
        <v>547</v>
      </c>
      <c r="B171" s="572">
        <v>10.7</v>
      </c>
      <c r="C171" s="572">
        <v>8.51</v>
      </c>
      <c r="D171" s="620">
        <f t="shared" si="13"/>
        <v>2.25</v>
      </c>
      <c r="E171" s="570">
        <v>600</v>
      </c>
      <c r="M171" s="569"/>
    </row>
    <row r="172" spans="1:13">
      <c r="A172" s="570" t="s">
        <v>546</v>
      </c>
      <c r="B172" s="572">
        <v>10.8</v>
      </c>
      <c r="C172" s="572">
        <v>8.4760000000000009</v>
      </c>
      <c r="D172" s="620">
        <f t="shared" si="13"/>
        <v>2.5</v>
      </c>
      <c r="E172" s="570">
        <v>600</v>
      </c>
      <c r="M172" s="569"/>
    </row>
    <row r="173" spans="1:13">
      <c r="A173" s="570"/>
      <c r="B173" s="572"/>
      <c r="C173" s="572"/>
      <c r="D173" s="620">
        <f t="shared" si="13"/>
        <v>0</v>
      </c>
      <c r="E173" s="570"/>
      <c r="M173" s="569"/>
    </row>
    <row r="174" spans="1:13">
      <c r="A174" s="570" t="s">
        <v>157</v>
      </c>
      <c r="B174" s="572">
        <v>10.6</v>
      </c>
      <c r="C174" s="572">
        <v>8.1020000000000003</v>
      </c>
      <c r="D174" s="620">
        <f t="shared" si="13"/>
        <v>2.5</v>
      </c>
      <c r="E174" s="570">
        <v>900</v>
      </c>
      <c r="M174" s="569"/>
    </row>
    <row r="175" spans="1:13">
      <c r="A175" s="570" t="s">
        <v>545</v>
      </c>
      <c r="B175" s="572">
        <v>10.4</v>
      </c>
      <c r="C175" s="572">
        <v>8.0519999999999996</v>
      </c>
      <c r="D175" s="620">
        <f t="shared" si="13"/>
        <v>2.5</v>
      </c>
      <c r="E175" s="570">
        <v>900</v>
      </c>
      <c r="M175" s="569"/>
    </row>
    <row r="176" spans="1:13">
      <c r="A176" s="570" t="s">
        <v>544</v>
      </c>
      <c r="B176" s="572">
        <v>10.14</v>
      </c>
      <c r="C176" s="572">
        <v>8.0039999999999996</v>
      </c>
      <c r="D176" s="620">
        <f t="shared" si="13"/>
        <v>2.25</v>
      </c>
      <c r="E176" s="570">
        <v>900</v>
      </c>
      <c r="M176" s="569"/>
    </row>
    <row r="177" spans="1:13">
      <c r="A177" s="570" t="s">
        <v>543</v>
      </c>
      <c r="B177" s="572">
        <v>10.1</v>
      </c>
      <c r="C177" s="572">
        <v>7.9770000000000003</v>
      </c>
      <c r="D177" s="620">
        <f t="shared" si="13"/>
        <v>2.25</v>
      </c>
      <c r="E177" s="570">
        <v>900</v>
      </c>
      <c r="M177" s="569"/>
    </row>
    <row r="178" spans="1:13">
      <c r="A178" s="570" t="s">
        <v>156</v>
      </c>
      <c r="B178" s="572">
        <v>9.99</v>
      </c>
      <c r="C178" s="572">
        <v>7.9560000000000004</v>
      </c>
      <c r="D178" s="620">
        <f t="shared" si="13"/>
        <v>2.25</v>
      </c>
      <c r="E178" s="570">
        <v>900</v>
      </c>
      <c r="M178" s="569"/>
    </row>
    <row r="179" spans="1:13">
      <c r="A179" s="570" t="s">
        <v>542</v>
      </c>
      <c r="B179" s="572">
        <v>9.5</v>
      </c>
      <c r="C179" s="572">
        <v>7.8949999999999996</v>
      </c>
      <c r="D179" s="620">
        <f t="shared" si="13"/>
        <v>1.75</v>
      </c>
      <c r="E179" s="570">
        <v>900</v>
      </c>
      <c r="M179" s="569"/>
    </row>
    <row r="180" spans="1:13">
      <c r="A180" s="570" t="s">
        <v>541</v>
      </c>
      <c r="B180" s="572">
        <v>9.5</v>
      </c>
      <c r="C180" s="572">
        <v>7.85</v>
      </c>
      <c r="D180" s="620">
        <f t="shared" si="13"/>
        <v>1.75</v>
      </c>
      <c r="E180" s="570">
        <v>825</v>
      </c>
      <c r="M180" s="569"/>
    </row>
    <row r="181" spans="1:13">
      <c r="A181" s="570" t="s">
        <v>153</v>
      </c>
      <c r="B181" s="572">
        <v>10</v>
      </c>
      <c r="C181" s="572">
        <v>7.8310000000000004</v>
      </c>
      <c r="D181" s="620">
        <f t="shared" si="13"/>
        <v>2.25</v>
      </c>
      <c r="E181" s="570">
        <v>825</v>
      </c>
      <c r="M181" s="569"/>
    </row>
    <row r="182" spans="1:13">
      <c r="A182" s="570" t="s">
        <v>152</v>
      </c>
      <c r="B182" s="572">
        <v>9.9</v>
      </c>
      <c r="C182" s="572">
        <v>7.8090000000000002</v>
      </c>
      <c r="D182" s="620">
        <f t="shared" si="13"/>
        <v>2.25</v>
      </c>
      <c r="E182" s="570">
        <v>825</v>
      </c>
      <c r="M182" s="569"/>
    </row>
    <row r="183" spans="1:13">
      <c r="A183" s="570" t="s">
        <v>151</v>
      </c>
      <c r="B183" s="572">
        <v>9.6</v>
      </c>
      <c r="C183" s="572">
        <v>7.7409999999999997</v>
      </c>
      <c r="D183" s="620">
        <f t="shared" si="13"/>
        <v>2</v>
      </c>
      <c r="E183" s="570">
        <v>825</v>
      </c>
      <c r="M183" s="569"/>
    </row>
    <row r="184" spans="1:13">
      <c r="A184" s="570" t="s">
        <v>540</v>
      </c>
      <c r="B184" s="572">
        <v>9.9</v>
      </c>
      <c r="C184" s="572">
        <v>8.4030000000000005</v>
      </c>
      <c r="D184" s="620">
        <f t="shared" si="13"/>
        <v>1.5</v>
      </c>
      <c r="E184" s="570">
        <v>300</v>
      </c>
      <c r="M184" s="569"/>
    </row>
    <row r="185" spans="1:13">
      <c r="A185" s="570" t="s">
        <v>539</v>
      </c>
      <c r="B185" s="572">
        <v>9.5</v>
      </c>
      <c r="C185" s="572">
        <v>7.6929999999999996</v>
      </c>
      <c r="D185" s="620">
        <f t="shared" si="13"/>
        <v>2</v>
      </c>
      <c r="E185" s="570">
        <v>825</v>
      </c>
      <c r="M185" s="569"/>
    </row>
    <row r="186" spans="1:13">
      <c r="A186" s="570" t="s">
        <v>538</v>
      </c>
      <c r="B186" s="572">
        <v>12.2</v>
      </c>
      <c r="C186" s="572">
        <v>9.5</v>
      </c>
      <c r="D186" s="620">
        <f t="shared" si="13"/>
        <v>2.75</v>
      </c>
      <c r="E186" s="570">
        <v>375</v>
      </c>
      <c r="M186" s="569"/>
    </row>
    <row r="187" spans="1:13">
      <c r="A187" s="570" t="s">
        <v>537</v>
      </c>
      <c r="B187" s="572">
        <v>12</v>
      </c>
      <c r="C187" s="572">
        <v>9.4149999999999991</v>
      </c>
      <c r="D187" s="620">
        <f t="shared" si="13"/>
        <v>2.75</v>
      </c>
      <c r="E187" s="570">
        <v>600</v>
      </c>
      <c r="M187" s="569"/>
    </row>
    <row r="188" spans="1:13">
      <c r="A188" s="570" t="s">
        <v>536</v>
      </c>
      <c r="B188" s="572">
        <v>11.65</v>
      </c>
      <c r="C188" s="572">
        <v>9.0549999999999997</v>
      </c>
      <c r="D188" s="620">
        <f t="shared" ref="D188:D219" si="14">CEILING(B188-C188,0.25)</f>
        <v>2.75</v>
      </c>
      <c r="E188" s="570">
        <v>600</v>
      </c>
      <c r="M188" s="569"/>
    </row>
    <row r="189" spans="1:13">
      <c r="A189" s="570" t="s">
        <v>535</v>
      </c>
      <c r="B189" s="572">
        <v>11.5</v>
      </c>
      <c r="C189" s="572">
        <v>8.6359999999999992</v>
      </c>
      <c r="D189" s="620">
        <f t="shared" si="14"/>
        <v>3</v>
      </c>
      <c r="E189" s="570">
        <v>900</v>
      </c>
      <c r="M189" s="569"/>
    </row>
    <row r="190" spans="1:13">
      <c r="A190" s="570"/>
      <c r="B190" s="572"/>
      <c r="C190" s="572"/>
      <c r="D190" s="620">
        <f t="shared" si="14"/>
        <v>0</v>
      </c>
      <c r="E190" s="570"/>
      <c r="M190" s="569"/>
    </row>
    <row r="191" spans="1:13">
      <c r="A191" s="570" t="s">
        <v>534</v>
      </c>
      <c r="B191" s="572">
        <v>11.1</v>
      </c>
      <c r="C191" s="572">
        <v>9.4510000000000005</v>
      </c>
      <c r="D191" s="620">
        <f t="shared" si="14"/>
        <v>1.75</v>
      </c>
      <c r="E191" s="570">
        <v>600</v>
      </c>
      <c r="M191" s="569"/>
    </row>
    <row r="192" spans="1:13">
      <c r="A192" s="570" t="s">
        <v>146</v>
      </c>
      <c r="B192" s="572">
        <v>11.6</v>
      </c>
      <c r="C192" s="572">
        <v>9.3140000000000001</v>
      </c>
      <c r="D192" s="620">
        <f t="shared" si="14"/>
        <v>2.5</v>
      </c>
      <c r="E192" s="570">
        <v>600</v>
      </c>
      <c r="M192" s="569"/>
    </row>
    <row r="193" spans="1:13">
      <c r="A193" s="570"/>
      <c r="B193" s="572"/>
      <c r="C193" s="572"/>
      <c r="D193" s="620">
        <f t="shared" si="14"/>
        <v>0</v>
      </c>
      <c r="E193" s="570"/>
      <c r="M193" s="569"/>
    </row>
    <row r="194" spans="1:13">
      <c r="A194" s="570" t="s">
        <v>145</v>
      </c>
      <c r="B194" s="572">
        <v>11.3</v>
      </c>
      <c r="C194" s="572">
        <v>9.1890000000000001</v>
      </c>
      <c r="D194" s="620">
        <f t="shared" si="14"/>
        <v>2.25</v>
      </c>
      <c r="E194" s="570">
        <v>900</v>
      </c>
      <c r="M194" s="569"/>
    </row>
    <row r="195" spans="1:13">
      <c r="A195" s="570"/>
      <c r="B195" s="572"/>
      <c r="C195" s="572"/>
      <c r="D195" s="620">
        <f t="shared" si="14"/>
        <v>0</v>
      </c>
      <c r="E195" s="570"/>
      <c r="M195" s="569"/>
    </row>
    <row r="196" spans="1:13">
      <c r="A196" s="570" t="s">
        <v>147</v>
      </c>
      <c r="B196" s="572">
        <v>11.2</v>
      </c>
      <c r="C196" s="572">
        <v>9.5640000000000001</v>
      </c>
      <c r="D196" s="620">
        <f t="shared" si="14"/>
        <v>1.75</v>
      </c>
      <c r="E196" s="570">
        <v>300</v>
      </c>
      <c r="M196" s="569"/>
    </row>
    <row r="197" spans="1:13">
      <c r="A197" s="570" t="s">
        <v>533</v>
      </c>
      <c r="B197" s="572">
        <v>11.13</v>
      </c>
      <c r="C197" s="572">
        <v>9.3040000000000003</v>
      </c>
      <c r="D197" s="620">
        <f t="shared" si="14"/>
        <v>2</v>
      </c>
      <c r="E197" s="570">
        <v>300</v>
      </c>
      <c r="M197" s="569"/>
    </row>
    <row r="198" spans="1:13">
      <c r="A198" s="570"/>
      <c r="B198" s="572"/>
      <c r="C198" s="572"/>
      <c r="D198" s="620">
        <f t="shared" si="14"/>
        <v>0</v>
      </c>
      <c r="E198" s="570"/>
      <c r="M198" s="569"/>
    </row>
    <row r="199" spans="1:13">
      <c r="A199" s="570" t="s">
        <v>144</v>
      </c>
      <c r="B199" s="572">
        <v>10.7</v>
      </c>
      <c r="C199" s="572">
        <v>8.4930000000000003</v>
      </c>
      <c r="D199" s="620">
        <f t="shared" si="14"/>
        <v>2.25</v>
      </c>
      <c r="E199" s="570">
        <v>900</v>
      </c>
      <c r="M199" s="569"/>
    </row>
    <row r="200" spans="1:13">
      <c r="A200" s="570"/>
      <c r="B200" s="572"/>
      <c r="C200" s="572"/>
      <c r="D200" s="620">
        <f t="shared" si="14"/>
        <v>0</v>
      </c>
      <c r="E200" s="570"/>
      <c r="M200" s="569"/>
    </row>
    <row r="201" spans="1:13">
      <c r="A201" s="570" t="s">
        <v>532</v>
      </c>
      <c r="B201" s="572">
        <v>10.9</v>
      </c>
      <c r="C201" s="572">
        <v>9.3670000000000009</v>
      </c>
      <c r="D201" s="620">
        <f t="shared" si="14"/>
        <v>1.75</v>
      </c>
      <c r="E201" s="570">
        <v>300</v>
      </c>
      <c r="M201" s="569"/>
    </row>
    <row r="202" spans="1:13">
      <c r="A202" s="570" t="s">
        <v>149</v>
      </c>
      <c r="B202" s="572">
        <v>11.05</v>
      </c>
      <c r="C202" s="572">
        <v>9.2729999999999997</v>
      </c>
      <c r="D202" s="620">
        <f t="shared" si="14"/>
        <v>2</v>
      </c>
      <c r="E202" s="570">
        <v>300</v>
      </c>
      <c r="M202" s="569"/>
    </row>
    <row r="203" spans="1:13">
      <c r="A203" s="570" t="s">
        <v>148</v>
      </c>
      <c r="B203" s="572">
        <v>10.8</v>
      </c>
      <c r="C203" s="572">
        <v>9.141</v>
      </c>
      <c r="D203" s="620">
        <f t="shared" si="14"/>
        <v>1.75</v>
      </c>
      <c r="E203" s="570">
        <v>300</v>
      </c>
      <c r="M203" s="569"/>
    </row>
    <row r="204" spans="1:13">
      <c r="A204" s="570"/>
      <c r="B204" s="572"/>
      <c r="C204" s="572"/>
      <c r="D204" s="620">
        <f t="shared" si="14"/>
        <v>0</v>
      </c>
      <c r="E204" s="570"/>
      <c r="M204" s="569"/>
    </row>
    <row r="205" spans="1:13">
      <c r="A205" s="570" t="s">
        <v>143</v>
      </c>
      <c r="B205" s="572">
        <v>10.55</v>
      </c>
      <c r="C205" s="572">
        <v>8.3320000000000007</v>
      </c>
      <c r="D205" s="620">
        <f t="shared" si="14"/>
        <v>2.25</v>
      </c>
      <c r="E205" s="570">
        <v>900</v>
      </c>
      <c r="M205" s="569"/>
    </row>
    <row r="206" spans="1:13">
      <c r="A206" s="570" t="s">
        <v>531</v>
      </c>
      <c r="B206" s="572">
        <v>10.3</v>
      </c>
      <c r="C206" s="572">
        <v>8.2520000000000007</v>
      </c>
      <c r="D206" s="620">
        <f t="shared" si="14"/>
        <v>2.25</v>
      </c>
      <c r="E206" s="570">
        <v>900</v>
      </c>
      <c r="M206" s="569"/>
    </row>
    <row r="207" spans="1:13">
      <c r="A207" s="570"/>
      <c r="B207" s="572"/>
      <c r="C207" s="572"/>
      <c r="D207" s="620">
        <f t="shared" si="14"/>
        <v>0</v>
      </c>
      <c r="E207" s="570"/>
      <c r="M207" s="569"/>
    </row>
    <row r="208" spans="1:13">
      <c r="A208" s="570" t="s">
        <v>530</v>
      </c>
      <c r="B208" s="572">
        <v>9.9</v>
      </c>
      <c r="C208" s="572">
        <v>8.9179999999999993</v>
      </c>
      <c r="D208" s="620">
        <f t="shared" si="14"/>
        <v>1</v>
      </c>
      <c r="E208" s="570">
        <v>300</v>
      </c>
      <c r="M208" s="569"/>
    </row>
    <row r="209" spans="1:13">
      <c r="A209" s="570"/>
      <c r="B209" s="572"/>
      <c r="C209" s="572"/>
      <c r="D209" s="620">
        <f t="shared" si="14"/>
        <v>0</v>
      </c>
      <c r="E209" s="570"/>
      <c r="M209" s="569"/>
    </row>
    <row r="210" spans="1:13">
      <c r="A210" s="570" t="s">
        <v>529</v>
      </c>
      <c r="B210" s="572">
        <v>10.45</v>
      </c>
      <c r="C210" s="572">
        <v>8.1769999999999996</v>
      </c>
      <c r="D210" s="620">
        <f t="shared" si="14"/>
        <v>2.5</v>
      </c>
      <c r="E210" s="570">
        <v>900</v>
      </c>
      <c r="M210" s="569"/>
    </row>
    <row r="211" spans="1:13">
      <c r="A211" s="570" t="s">
        <v>528</v>
      </c>
      <c r="B211" s="572">
        <v>10.15</v>
      </c>
      <c r="C211" s="572">
        <v>8.1180000000000003</v>
      </c>
      <c r="D211" s="620">
        <f t="shared" si="14"/>
        <v>2.25</v>
      </c>
      <c r="E211" s="570">
        <v>900</v>
      </c>
      <c r="M211" s="569"/>
    </row>
    <row r="212" spans="1:13">
      <c r="A212" s="570"/>
      <c r="B212" s="572"/>
      <c r="C212" s="572"/>
      <c r="D212" s="620">
        <f t="shared" si="14"/>
        <v>0</v>
      </c>
      <c r="E212" s="570"/>
      <c r="M212" s="569"/>
    </row>
    <row r="213" spans="1:13">
      <c r="A213" s="570" t="s">
        <v>527</v>
      </c>
      <c r="B213" s="572">
        <v>9.94</v>
      </c>
      <c r="C213" s="572">
        <v>8.2080000000000002</v>
      </c>
      <c r="D213" s="620">
        <f t="shared" si="14"/>
        <v>1.75</v>
      </c>
      <c r="E213" s="570">
        <v>225</v>
      </c>
      <c r="M213" s="569"/>
    </row>
    <row r="214" spans="1:13">
      <c r="A214" s="570" t="s">
        <v>526</v>
      </c>
      <c r="B214" s="572">
        <v>9.6999999999999993</v>
      </c>
      <c r="C214" s="572">
        <v>8.09</v>
      </c>
      <c r="D214" s="620">
        <f t="shared" si="14"/>
        <v>1.75</v>
      </c>
      <c r="E214" s="570">
        <v>225</v>
      </c>
      <c r="M214" s="569"/>
    </row>
    <row r="215" spans="1:13">
      <c r="A215" s="570"/>
      <c r="B215" s="572"/>
      <c r="C215" s="572"/>
      <c r="D215" s="620">
        <f t="shared" si="14"/>
        <v>0</v>
      </c>
      <c r="E215" s="570"/>
      <c r="M215" s="569"/>
    </row>
    <row r="216" spans="1:13">
      <c r="A216" s="570" t="s">
        <v>525</v>
      </c>
      <c r="B216" s="572">
        <v>9.5</v>
      </c>
      <c r="C216" s="572">
        <v>8</v>
      </c>
      <c r="D216" s="620">
        <f t="shared" si="14"/>
        <v>1.5</v>
      </c>
      <c r="E216" s="570">
        <v>300</v>
      </c>
      <c r="M216" s="569"/>
    </row>
    <row r="217" spans="1:13">
      <c r="A217" s="570" t="s">
        <v>106</v>
      </c>
      <c r="B217" s="572">
        <v>9.6999999999999993</v>
      </c>
      <c r="C217" s="572">
        <v>7.9379999999999997</v>
      </c>
      <c r="D217" s="620">
        <f t="shared" si="14"/>
        <v>2</v>
      </c>
      <c r="E217" s="570">
        <v>300</v>
      </c>
      <c r="M217" s="569"/>
    </row>
    <row r="218" spans="1:13">
      <c r="A218" s="570"/>
      <c r="B218" s="572"/>
      <c r="C218" s="572"/>
      <c r="D218" s="620">
        <f t="shared" si="14"/>
        <v>0</v>
      </c>
      <c r="E218" s="570"/>
      <c r="M218" s="569"/>
    </row>
    <row r="219" spans="1:13">
      <c r="A219" s="570" t="s">
        <v>524</v>
      </c>
      <c r="B219" s="572">
        <v>9</v>
      </c>
      <c r="C219" s="572">
        <v>7.5</v>
      </c>
      <c r="D219" s="620">
        <f t="shared" si="14"/>
        <v>1.5</v>
      </c>
      <c r="E219" s="570">
        <v>750</v>
      </c>
      <c r="M219" s="569"/>
    </row>
    <row r="220" spans="1:13">
      <c r="A220" s="570" t="s">
        <v>523</v>
      </c>
      <c r="B220" s="572">
        <v>9</v>
      </c>
      <c r="C220" s="572">
        <v>7.476</v>
      </c>
      <c r="D220" s="620">
        <f t="shared" ref="D220:D246" si="15">CEILING(B220-C220,0.25)</f>
        <v>1.75</v>
      </c>
      <c r="E220" s="570">
        <v>525</v>
      </c>
      <c r="M220" s="569"/>
    </row>
    <row r="221" spans="1:13">
      <c r="A221" s="570"/>
      <c r="B221" s="572"/>
      <c r="C221" s="572"/>
      <c r="D221" s="620">
        <f t="shared" si="15"/>
        <v>0</v>
      </c>
      <c r="E221" s="570"/>
      <c r="M221" s="569"/>
    </row>
    <row r="222" spans="1:13">
      <c r="A222" s="570" t="s">
        <v>522</v>
      </c>
      <c r="B222" s="572">
        <v>10</v>
      </c>
      <c r="C222" s="572">
        <v>8.08</v>
      </c>
      <c r="D222" s="620">
        <f t="shared" si="15"/>
        <v>2</v>
      </c>
      <c r="E222" s="570">
        <v>900</v>
      </c>
      <c r="M222" s="569"/>
    </row>
    <row r="223" spans="1:13">
      <c r="A223" s="570" t="s">
        <v>521</v>
      </c>
      <c r="B223" s="572">
        <v>9.3000000000000007</v>
      </c>
      <c r="C223" s="572">
        <v>7.9409999999999998</v>
      </c>
      <c r="D223" s="620">
        <f t="shared" si="15"/>
        <v>1.5</v>
      </c>
      <c r="E223" s="570">
        <v>225</v>
      </c>
      <c r="M223" s="569"/>
    </row>
    <row r="224" spans="1:13">
      <c r="A224" s="570" t="s">
        <v>520</v>
      </c>
      <c r="B224" s="572">
        <v>9.5</v>
      </c>
      <c r="C224" s="572">
        <v>7.8659999999999997</v>
      </c>
      <c r="D224" s="620">
        <f t="shared" si="15"/>
        <v>1.75</v>
      </c>
      <c r="E224" s="570">
        <v>300</v>
      </c>
      <c r="M224" s="569"/>
    </row>
    <row r="225" spans="1:13">
      <c r="A225" s="570"/>
      <c r="B225" s="572"/>
      <c r="C225" s="572"/>
      <c r="D225" s="620">
        <f t="shared" si="15"/>
        <v>0</v>
      </c>
      <c r="E225" s="570"/>
      <c r="M225" s="569"/>
    </row>
    <row r="226" spans="1:13">
      <c r="A226" s="570"/>
      <c r="B226" s="572"/>
      <c r="C226" s="572"/>
      <c r="D226" s="620">
        <f t="shared" si="15"/>
        <v>0</v>
      </c>
      <c r="E226" s="570"/>
      <c r="M226" s="569"/>
    </row>
    <row r="227" spans="1:13">
      <c r="A227" s="570"/>
      <c r="B227" s="572"/>
      <c r="C227" s="572"/>
      <c r="D227" s="620">
        <f t="shared" si="15"/>
        <v>0</v>
      </c>
      <c r="E227" s="570"/>
      <c r="M227" s="569"/>
    </row>
    <row r="228" spans="1:13">
      <c r="A228" s="570"/>
      <c r="B228" s="572"/>
      <c r="C228" s="572"/>
      <c r="D228" s="620">
        <f t="shared" si="15"/>
        <v>0</v>
      </c>
      <c r="E228" s="570"/>
      <c r="M228" s="569"/>
    </row>
    <row r="229" spans="1:13">
      <c r="A229" s="570"/>
      <c r="B229" s="572"/>
      <c r="C229" s="572"/>
      <c r="D229" s="620">
        <f t="shared" si="15"/>
        <v>0</v>
      </c>
      <c r="E229" s="570"/>
      <c r="M229" s="569"/>
    </row>
    <row r="230" spans="1:13">
      <c r="A230" s="570"/>
      <c r="B230" s="572"/>
      <c r="C230" s="572"/>
      <c r="D230" s="620">
        <f t="shared" si="15"/>
        <v>0</v>
      </c>
      <c r="E230" s="570"/>
      <c r="M230" s="569"/>
    </row>
    <row r="231" spans="1:13">
      <c r="A231" s="570"/>
      <c r="B231" s="572"/>
      <c r="C231" s="572"/>
      <c r="D231" s="620">
        <f t="shared" si="15"/>
        <v>0</v>
      </c>
      <c r="E231" s="570"/>
      <c r="M231" s="569"/>
    </row>
    <row r="232" spans="1:13">
      <c r="A232" s="570"/>
      <c r="B232" s="572"/>
      <c r="C232" s="572"/>
      <c r="D232" s="620">
        <f t="shared" si="15"/>
        <v>0</v>
      </c>
      <c r="E232" s="570"/>
      <c r="M232" s="569"/>
    </row>
    <row r="233" spans="1:13">
      <c r="A233" s="570"/>
      <c r="B233" s="572"/>
      <c r="C233" s="572"/>
      <c r="D233" s="620">
        <f t="shared" si="15"/>
        <v>0</v>
      </c>
      <c r="E233" s="570"/>
      <c r="M233" s="569"/>
    </row>
    <row r="234" spans="1:13">
      <c r="A234" s="570"/>
      <c r="B234" s="572"/>
      <c r="C234" s="572"/>
      <c r="D234" s="620">
        <f t="shared" si="15"/>
        <v>0</v>
      </c>
      <c r="E234" s="570"/>
      <c r="M234" s="569"/>
    </row>
    <row r="235" spans="1:13">
      <c r="A235" s="570"/>
      <c r="B235" s="572"/>
      <c r="C235" s="572"/>
      <c r="D235" s="620">
        <f t="shared" si="15"/>
        <v>0</v>
      </c>
      <c r="E235" s="570"/>
      <c r="M235" s="569"/>
    </row>
    <row r="236" spans="1:13">
      <c r="A236" s="570"/>
      <c r="B236" s="572"/>
      <c r="C236" s="572"/>
      <c r="D236" s="620">
        <f t="shared" si="15"/>
        <v>0</v>
      </c>
      <c r="E236" s="570"/>
      <c r="M236" s="569"/>
    </row>
    <row r="237" spans="1:13">
      <c r="A237" s="570"/>
      <c r="B237" s="572"/>
      <c r="C237" s="572"/>
      <c r="D237" s="620">
        <f t="shared" si="15"/>
        <v>0</v>
      </c>
      <c r="E237" s="570"/>
      <c r="M237" s="569"/>
    </row>
    <row r="238" spans="1:13">
      <c r="A238" s="570"/>
      <c r="B238" s="572"/>
      <c r="C238" s="572"/>
      <c r="D238" s="620">
        <f t="shared" si="15"/>
        <v>0</v>
      </c>
      <c r="E238" s="570"/>
      <c r="M238" s="569"/>
    </row>
    <row r="239" spans="1:13">
      <c r="A239" s="570"/>
      <c r="B239" s="572"/>
      <c r="C239" s="572"/>
      <c r="D239" s="620">
        <f t="shared" si="15"/>
        <v>0</v>
      </c>
      <c r="E239" s="570"/>
      <c r="M239" s="569"/>
    </row>
    <row r="240" spans="1:13">
      <c r="A240" s="570"/>
      <c r="B240" s="572"/>
      <c r="C240" s="572"/>
      <c r="D240" s="620">
        <f t="shared" si="15"/>
        <v>0</v>
      </c>
      <c r="E240" s="570"/>
      <c r="M240" s="569"/>
    </row>
    <row r="241" spans="1:13">
      <c r="A241" s="570"/>
      <c r="B241" s="572"/>
      <c r="C241" s="572"/>
      <c r="D241" s="620">
        <f t="shared" si="15"/>
        <v>0</v>
      </c>
      <c r="E241" s="570"/>
      <c r="M241" s="569"/>
    </row>
    <row r="242" spans="1:13">
      <c r="A242" s="570"/>
      <c r="B242" s="572"/>
      <c r="C242" s="572"/>
      <c r="D242" s="620">
        <f t="shared" si="15"/>
        <v>0</v>
      </c>
      <c r="E242" s="570"/>
      <c r="M242" s="569"/>
    </row>
    <row r="243" spans="1:13">
      <c r="A243" s="570"/>
      <c r="B243" s="572"/>
      <c r="C243" s="572"/>
      <c r="D243" s="620">
        <f t="shared" si="15"/>
        <v>0</v>
      </c>
      <c r="E243" s="570"/>
      <c r="M243" s="569"/>
    </row>
    <row r="244" spans="1:13">
      <c r="A244" s="570"/>
      <c r="B244" s="572"/>
      <c r="C244" s="572"/>
      <c r="D244" s="620">
        <f t="shared" si="15"/>
        <v>0</v>
      </c>
      <c r="E244" s="570"/>
      <c r="M244" s="569"/>
    </row>
    <row r="245" spans="1:13">
      <c r="A245" s="570"/>
      <c r="B245" s="572"/>
      <c r="C245" s="572"/>
      <c r="D245" s="620">
        <f t="shared" si="15"/>
        <v>0</v>
      </c>
      <c r="E245" s="570"/>
      <c r="M245" s="569"/>
    </row>
    <row r="246" spans="1:13">
      <c r="A246" s="570"/>
      <c r="B246" s="572"/>
      <c r="C246" s="572"/>
      <c r="D246" s="620">
        <f t="shared" si="15"/>
        <v>0</v>
      </c>
      <c r="E246" s="570"/>
      <c r="M246" s="569"/>
    </row>
    <row r="247" spans="1:13">
      <c r="A247" s="570"/>
      <c r="B247" s="572"/>
      <c r="C247" s="572"/>
      <c r="D247" s="574"/>
      <c r="E247" s="570"/>
      <c r="M247" s="569"/>
    </row>
    <row r="248" spans="1:13">
      <c r="A248" s="570"/>
      <c r="B248" s="572"/>
      <c r="C248" s="572"/>
      <c r="D248" s="574"/>
      <c r="E248" s="570"/>
      <c r="M248" s="569"/>
    </row>
    <row r="249" spans="1:13">
      <c r="A249" s="618"/>
      <c r="B249" s="619"/>
      <c r="C249" s="619"/>
      <c r="D249" s="574"/>
      <c r="E249" s="618"/>
      <c r="M249" s="569"/>
    </row>
    <row r="250" spans="1:13">
      <c r="A250" s="617"/>
      <c r="B250" s="614"/>
      <c r="C250" s="1197" t="s">
        <v>513</v>
      </c>
      <c r="D250" s="1197"/>
      <c r="E250" s="614"/>
      <c r="F250" s="615"/>
      <c r="G250" s="615"/>
      <c r="H250" s="616"/>
      <c r="I250" s="616"/>
      <c r="J250" s="615"/>
      <c r="K250" s="615"/>
      <c r="L250" s="614"/>
      <c r="M250" s="569"/>
    </row>
    <row r="251" spans="1:13">
      <c r="A251" s="613"/>
      <c r="C251" s="612">
        <v>43413</v>
      </c>
      <c r="M251" s="569"/>
    </row>
    <row r="252" spans="1:13" ht="16">
      <c r="A252" s="611" t="s">
        <v>378</v>
      </c>
      <c r="B252" s="610" t="s">
        <v>45</v>
      </c>
      <c r="C252" s="584"/>
      <c r="D252" s="584"/>
      <c r="E252" s="581"/>
      <c r="F252" s="581"/>
      <c r="G252" s="582"/>
      <c r="H252" s="582"/>
      <c r="I252" s="581"/>
      <c r="J252" s="581"/>
      <c r="K252" s="584"/>
      <c r="L252" s="583"/>
      <c r="M252" s="569"/>
    </row>
    <row r="253" spans="1:13">
      <c r="A253" s="584"/>
      <c r="B253" s="609" t="s">
        <v>47</v>
      </c>
      <c r="C253" s="606"/>
      <c r="D253" s="606"/>
      <c r="E253" s="607"/>
      <c r="F253" s="607" t="s">
        <v>48</v>
      </c>
      <c r="G253" s="608"/>
      <c r="H253" s="608"/>
      <c r="I253" s="607"/>
      <c r="J253" s="607"/>
      <c r="K253" s="606"/>
      <c r="L253" s="605"/>
      <c r="M253" s="569"/>
    </row>
    <row r="254" spans="1:13" ht="14">
      <c r="A254" s="584"/>
      <c r="B254" s="604" t="s">
        <v>16</v>
      </c>
      <c r="C254" s="603" t="s">
        <v>56</v>
      </c>
      <c r="D254" s="603" t="s">
        <v>57</v>
      </c>
      <c r="E254" s="599" t="s">
        <v>37</v>
      </c>
      <c r="F254" s="602" t="s">
        <v>16</v>
      </c>
      <c r="G254" s="600" t="s">
        <v>56</v>
      </c>
      <c r="H254" s="600" t="s">
        <v>57</v>
      </c>
      <c r="I254" s="599" t="s">
        <v>37</v>
      </c>
      <c r="J254" s="601" t="s">
        <v>512</v>
      </c>
      <c r="K254" s="600" t="s">
        <v>38</v>
      </c>
      <c r="L254" s="599" t="s">
        <v>59</v>
      </c>
      <c r="M254" s="569"/>
    </row>
    <row r="255" spans="1:13">
      <c r="B255" s="570"/>
      <c r="C255" s="572"/>
      <c r="D255" s="572"/>
      <c r="E255" s="598">
        <f t="shared" ref="E255:E270" si="16">C255-D255</f>
        <v>0</v>
      </c>
      <c r="F255" s="570"/>
      <c r="G255" s="572"/>
      <c r="H255" s="572"/>
      <c r="I255" s="598">
        <f t="shared" ref="I255:I270" si="17">G255-H255</f>
        <v>0</v>
      </c>
      <c r="J255" s="597">
        <f t="shared" ref="J255:J270" si="18">CEILING((E255+I255)/2,0.25)</f>
        <v>0</v>
      </c>
      <c r="K255" s="573"/>
      <c r="L255" s="573"/>
      <c r="M255" s="569"/>
    </row>
    <row r="256" spans="1:13">
      <c r="B256" s="570"/>
      <c r="C256" s="572"/>
      <c r="D256" s="572"/>
      <c r="E256" s="596">
        <f t="shared" si="16"/>
        <v>0</v>
      </c>
      <c r="F256" s="570"/>
      <c r="G256" s="572"/>
      <c r="H256" s="572"/>
      <c r="I256" s="596">
        <f t="shared" si="17"/>
        <v>0</v>
      </c>
      <c r="J256" s="595">
        <f t="shared" si="18"/>
        <v>0</v>
      </c>
      <c r="K256" s="573"/>
      <c r="L256" s="573"/>
      <c r="M256" s="569"/>
    </row>
    <row r="257" spans="1:13">
      <c r="B257" s="570"/>
      <c r="C257" s="572"/>
      <c r="D257" s="572"/>
      <c r="E257" s="596">
        <f t="shared" si="16"/>
        <v>0</v>
      </c>
      <c r="F257" s="570"/>
      <c r="G257" s="572"/>
      <c r="H257" s="572"/>
      <c r="I257" s="596">
        <f t="shared" si="17"/>
        <v>0</v>
      </c>
      <c r="J257" s="595">
        <f t="shared" si="18"/>
        <v>0</v>
      </c>
      <c r="K257" s="573"/>
      <c r="L257" s="573"/>
      <c r="M257" s="569"/>
    </row>
    <row r="258" spans="1:13">
      <c r="B258" s="570"/>
      <c r="C258" s="572"/>
      <c r="D258" s="572"/>
      <c r="E258" s="596">
        <f t="shared" si="16"/>
        <v>0</v>
      </c>
      <c r="F258" s="570"/>
      <c r="G258" s="572"/>
      <c r="H258" s="572"/>
      <c r="I258" s="596">
        <f t="shared" si="17"/>
        <v>0</v>
      </c>
      <c r="J258" s="595">
        <f t="shared" si="18"/>
        <v>0</v>
      </c>
      <c r="K258" s="573"/>
      <c r="L258" s="573"/>
      <c r="M258" s="569"/>
    </row>
    <row r="259" spans="1:13">
      <c r="B259" s="570"/>
      <c r="C259" s="572"/>
      <c r="D259" s="572"/>
      <c r="E259" s="596">
        <f t="shared" si="16"/>
        <v>0</v>
      </c>
      <c r="F259" s="570"/>
      <c r="G259" s="572"/>
      <c r="H259" s="572"/>
      <c r="I259" s="596">
        <f t="shared" si="17"/>
        <v>0</v>
      </c>
      <c r="J259" s="595">
        <f t="shared" si="18"/>
        <v>0</v>
      </c>
      <c r="K259" s="573"/>
      <c r="L259" s="573"/>
      <c r="M259" s="569"/>
    </row>
    <row r="260" spans="1:13">
      <c r="B260" s="570"/>
      <c r="C260" s="572"/>
      <c r="D260" s="572"/>
      <c r="E260" s="596">
        <f t="shared" si="16"/>
        <v>0</v>
      </c>
      <c r="F260" s="570"/>
      <c r="G260" s="572"/>
      <c r="H260" s="572"/>
      <c r="I260" s="596">
        <f t="shared" si="17"/>
        <v>0</v>
      </c>
      <c r="J260" s="595">
        <f t="shared" si="18"/>
        <v>0</v>
      </c>
      <c r="K260" s="573"/>
      <c r="L260" s="573"/>
      <c r="M260" s="569"/>
    </row>
    <row r="261" spans="1:13">
      <c r="B261" s="570"/>
      <c r="C261" s="572"/>
      <c r="D261" s="572"/>
      <c r="E261" s="596">
        <f t="shared" si="16"/>
        <v>0</v>
      </c>
      <c r="F261" s="570"/>
      <c r="G261" s="572"/>
      <c r="H261" s="572"/>
      <c r="I261" s="596">
        <f t="shared" si="17"/>
        <v>0</v>
      </c>
      <c r="J261" s="595">
        <f t="shared" si="18"/>
        <v>0</v>
      </c>
      <c r="K261" s="573"/>
      <c r="L261" s="573"/>
      <c r="M261" s="569"/>
    </row>
    <row r="262" spans="1:13">
      <c r="B262" s="570"/>
      <c r="C262" s="572"/>
      <c r="D262" s="572"/>
      <c r="E262" s="596">
        <f t="shared" si="16"/>
        <v>0</v>
      </c>
      <c r="F262" s="570"/>
      <c r="G262" s="572"/>
      <c r="H262" s="572"/>
      <c r="I262" s="596">
        <f t="shared" si="17"/>
        <v>0</v>
      </c>
      <c r="J262" s="595">
        <f t="shared" si="18"/>
        <v>0</v>
      </c>
      <c r="K262" s="573"/>
      <c r="L262" s="573"/>
      <c r="M262" s="569"/>
    </row>
    <row r="263" spans="1:13">
      <c r="B263" s="570"/>
      <c r="C263" s="572"/>
      <c r="D263" s="572"/>
      <c r="E263" s="596">
        <f t="shared" si="16"/>
        <v>0</v>
      </c>
      <c r="F263" s="570"/>
      <c r="G263" s="572"/>
      <c r="H263" s="572"/>
      <c r="I263" s="596">
        <f t="shared" si="17"/>
        <v>0</v>
      </c>
      <c r="J263" s="595">
        <f t="shared" si="18"/>
        <v>0</v>
      </c>
      <c r="K263" s="573"/>
      <c r="L263" s="573"/>
      <c r="M263" s="569"/>
    </row>
    <row r="264" spans="1:13">
      <c r="B264" s="570"/>
      <c r="C264" s="572"/>
      <c r="D264" s="572"/>
      <c r="E264" s="596">
        <f t="shared" si="16"/>
        <v>0</v>
      </c>
      <c r="F264" s="570"/>
      <c r="G264" s="572"/>
      <c r="H264" s="572"/>
      <c r="I264" s="596">
        <f t="shared" si="17"/>
        <v>0</v>
      </c>
      <c r="J264" s="595">
        <f t="shared" si="18"/>
        <v>0</v>
      </c>
      <c r="K264" s="573"/>
      <c r="L264" s="573"/>
      <c r="M264" s="569"/>
    </row>
    <row r="265" spans="1:13">
      <c r="B265" s="570"/>
      <c r="C265" s="572"/>
      <c r="D265" s="572"/>
      <c r="E265" s="596">
        <f t="shared" si="16"/>
        <v>0</v>
      </c>
      <c r="F265" s="570"/>
      <c r="G265" s="572"/>
      <c r="H265" s="572"/>
      <c r="I265" s="596">
        <f t="shared" si="17"/>
        <v>0</v>
      </c>
      <c r="J265" s="595">
        <f t="shared" si="18"/>
        <v>0</v>
      </c>
      <c r="K265" s="573"/>
      <c r="L265" s="573"/>
      <c r="M265" s="569"/>
    </row>
    <row r="266" spans="1:13">
      <c r="B266" s="570"/>
      <c r="C266" s="572"/>
      <c r="D266" s="572"/>
      <c r="E266" s="596">
        <f t="shared" si="16"/>
        <v>0</v>
      </c>
      <c r="F266" s="570"/>
      <c r="G266" s="572"/>
      <c r="H266" s="572"/>
      <c r="I266" s="596">
        <f t="shared" si="17"/>
        <v>0</v>
      </c>
      <c r="J266" s="595">
        <f t="shared" si="18"/>
        <v>0</v>
      </c>
      <c r="K266" s="573"/>
      <c r="L266" s="573"/>
      <c r="M266" s="569"/>
    </row>
    <row r="267" spans="1:13">
      <c r="B267" s="570"/>
      <c r="C267" s="572"/>
      <c r="D267" s="572"/>
      <c r="E267" s="596">
        <f t="shared" si="16"/>
        <v>0</v>
      </c>
      <c r="F267" s="570"/>
      <c r="G267" s="572"/>
      <c r="H267" s="572"/>
      <c r="I267" s="596">
        <f t="shared" si="17"/>
        <v>0</v>
      </c>
      <c r="J267" s="595">
        <f t="shared" si="18"/>
        <v>0</v>
      </c>
      <c r="K267" s="573"/>
      <c r="L267" s="573"/>
      <c r="M267" s="569"/>
    </row>
    <row r="268" spans="1:13">
      <c r="B268" s="570"/>
      <c r="C268" s="572"/>
      <c r="D268" s="572"/>
      <c r="E268" s="596">
        <f t="shared" si="16"/>
        <v>0</v>
      </c>
      <c r="F268" s="570"/>
      <c r="G268" s="572"/>
      <c r="H268" s="572"/>
      <c r="I268" s="596">
        <f t="shared" si="17"/>
        <v>0</v>
      </c>
      <c r="J268" s="595">
        <f t="shared" si="18"/>
        <v>0</v>
      </c>
      <c r="K268" s="573"/>
      <c r="L268" s="573"/>
      <c r="M268" s="569"/>
    </row>
    <row r="269" spans="1:13">
      <c r="B269" s="570"/>
      <c r="C269" s="572"/>
      <c r="D269" s="572"/>
      <c r="E269" s="596">
        <f t="shared" si="16"/>
        <v>0</v>
      </c>
      <c r="F269" s="570"/>
      <c r="G269" s="572"/>
      <c r="H269" s="572"/>
      <c r="I269" s="596">
        <f t="shared" si="17"/>
        <v>0</v>
      </c>
      <c r="J269" s="595">
        <f t="shared" si="18"/>
        <v>0</v>
      </c>
      <c r="K269" s="573"/>
      <c r="L269" s="573"/>
      <c r="M269" s="565"/>
    </row>
    <row r="270" spans="1:13">
      <c r="B270" s="570"/>
      <c r="C270" s="572"/>
      <c r="D270" s="572"/>
      <c r="E270" s="596">
        <f t="shared" si="16"/>
        <v>0</v>
      </c>
      <c r="F270" s="570"/>
      <c r="G270" s="572"/>
      <c r="H270" s="572"/>
      <c r="I270" s="596">
        <f t="shared" si="17"/>
        <v>0</v>
      </c>
      <c r="J270" s="595">
        <f t="shared" si="18"/>
        <v>0</v>
      </c>
      <c r="K270" s="573"/>
      <c r="L270" s="573"/>
      <c r="M270" s="565"/>
    </row>
    <row r="271" spans="1:13" s="569" customFormat="1" ht="12.5" customHeight="1">
      <c r="A271" s="594"/>
      <c r="B271" s="594"/>
      <c r="C271" s="594"/>
      <c r="D271" s="594"/>
      <c r="E271" s="593"/>
      <c r="F271" s="593"/>
      <c r="G271" s="593"/>
      <c r="H271" s="593"/>
      <c r="I271" s="593"/>
      <c r="J271" s="592" t="s">
        <v>65</v>
      </c>
      <c r="K271" s="591">
        <f>SUM(K255:K270)</f>
        <v>0</v>
      </c>
      <c r="L271" s="590"/>
    </row>
    <row r="272" spans="1:13" s="569" customFormat="1" ht="20" customHeight="1">
      <c r="A272" s="589" t="s">
        <v>378</v>
      </c>
      <c r="B272" s="588"/>
      <c r="C272" s="588"/>
      <c r="D272" s="588"/>
      <c r="E272" s="587"/>
      <c r="F272" s="568"/>
      <c r="G272" s="568"/>
      <c r="H272" s="568"/>
      <c r="I272" s="568"/>
      <c r="J272" s="568"/>
      <c r="K272" s="568"/>
      <c r="L272" s="586"/>
    </row>
    <row r="273" spans="1:13" ht="16">
      <c r="A273" s="585" t="s">
        <v>40</v>
      </c>
      <c r="B273" s="584"/>
      <c r="C273" s="584"/>
      <c r="D273" s="584"/>
      <c r="E273" s="583"/>
      <c r="F273" s="581"/>
      <c r="G273" s="581"/>
      <c r="H273" s="582"/>
      <c r="I273" s="582"/>
      <c r="J273" s="581"/>
      <c r="K273" s="581"/>
      <c r="M273" s="569"/>
    </row>
    <row r="274" spans="1:13">
      <c r="A274" s="580" t="s">
        <v>0</v>
      </c>
      <c r="B274" s="579" t="s">
        <v>56</v>
      </c>
      <c r="C274" s="579" t="s">
        <v>57</v>
      </c>
      <c r="D274" s="579" t="s">
        <v>37</v>
      </c>
      <c r="E274" s="578" t="s">
        <v>70</v>
      </c>
      <c r="M274" s="569"/>
    </row>
    <row r="275" spans="1:13">
      <c r="A275" s="577"/>
      <c r="B275" s="576"/>
      <c r="C275" s="576"/>
      <c r="D275" s="576"/>
      <c r="E275" s="575"/>
      <c r="M275" s="569"/>
    </row>
    <row r="276" spans="1:13">
      <c r="A276" s="570"/>
      <c r="B276" s="572"/>
      <c r="C276" s="572"/>
      <c r="D276" s="574">
        <f t="shared" ref="D276:D291" si="19">CEILING(B276-C276,0.25)</f>
        <v>0</v>
      </c>
      <c r="E276" s="570"/>
      <c r="M276" s="569"/>
    </row>
    <row r="277" spans="1:13">
      <c r="A277" s="570"/>
      <c r="B277" s="572"/>
      <c r="C277" s="572"/>
      <c r="D277" s="574">
        <f t="shared" si="19"/>
        <v>0</v>
      </c>
      <c r="E277" s="570"/>
      <c r="M277" s="569"/>
    </row>
    <row r="278" spans="1:13">
      <c r="A278" s="570"/>
      <c r="B278" s="572"/>
      <c r="C278" s="572"/>
      <c r="D278" s="574">
        <f t="shared" si="19"/>
        <v>0</v>
      </c>
      <c r="E278" s="570"/>
      <c r="M278" s="569"/>
    </row>
    <row r="279" spans="1:13">
      <c r="A279" s="570"/>
      <c r="B279" s="572"/>
      <c r="C279" s="572"/>
      <c r="D279" s="574">
        <f t="shared" si="19"/>
        <v>0</v>
      </c>
      <c r="E279" s="570"/>
      <c r="M279" s="569"/>
    </row>
    <row r="280" spans="1:13">
      <c r="A280" s="570"/>
      <c r="B280" s="572"/>
      <c r="C280" s="572"/>
      <c r="D280" s="574">
        <f t="shared" si="19"/>
        <v>0</v>
      </c>
      <c r="E280" s="570"/>
      <c r="M280" s="569"/>
    </row>
    <row r="281" spans="1:13">
      <c r="A281" s="570"/>
      <c r="B281" s="572"/>
      <c r="C281" s="572"/>
      <c r="D281" s="574">
        <f t="shared" si="19"/>
        <v>0</v>
      </c>
      <c r="E281" s="570"/>
      <c r="M281" s="569"/>
    </row>
    <row r="282" spans="1:13">
      <c r="A282" s="570"/>
      <c r="B282" s="572"/>
      <c r="C282" s="572"/>
      <c r="D282" s="574">
        <f t="shared" si="19"/>
        <v>0</v>
      </c>
      <c r="E282" s="570"/>
      <c r="M282" s="569"/>
    </row>
    <row r="283" spans="1:13">
      <c r="A283" s="570"/>
      <c r="B283" s="572"/>
      <c r="C283" s="572"/>
      <c r="D283" s="574">
        <f t="shared" si="19"/>
        <v>0</v>
      </c>
      <c r="E283" s="570"/>
      <c r="M283" s="569"/>
    </row>
    <row r="284" spans="1:13">
      <c r="A284" s="570"/>
      <c r="B284" s="572"/>
      <c r="C284" s="572"/>
      <c r="D284" s="574">
        <f t="shared" si="19"/>
        <v>0</v>
      </c>
      <c r="E284" s="570"/>
      <c r="M284" s="569"/>
    </row>
    <row r="285" spans="1:13">
      <c r="A285" s="570"/>
      <c r="B285" s="572"/>
      <c r="C285" s="572"/>
      <c r="D285" s="574">
        <f t="shared" si="19"/>
        <v>0</v>
      </c>
      <c r="E285" s="570"/>
      <c r="M285" s="569"/>
    </row>
    <row r="286" spans="1:13">
      <c r="A286" s="570"/>
      <c r="B286" s="572"/>
      <c r="C286" s="572"/>
      <c r="D286" s="574">
        <f t="shared" si="19"/>
        <v>0</v>
      </c>
      <c r="E286" s="570"/>
      <c r="M286" s="569"/>
    </row>
    <row r="287" spans="1:13">
      <c r="A287" s="570"/>
      <c r="B287" s="572"/>
      <c r="C287" s="572"/>
      <c r="D287" s="574">
        <f t="shared" si="19"/>
        <v>0</v>
      </c>
      <c r="E287" s="570"/>
      <c r="M287" s="569"/>
    </row>
    <row r="288" spans="1:13">
      <c r="A288" s="570"/>
      <c r="B288" s="572"/>
      <c r="C288" s="572"/>
      <c r="D288" s="574">
        <f t="shared" si="19"/>
        <v>0</v>
      </c>
      <c r="E288" s="570"/>
      <c r="M288" s="569"/>
    </row>
    <row r="289" spans="1:13">
      <c r="A289" s="570"/>
      <c r="B289" s="572"/>
      <c r="C289" s="572"/>
      <c r="D289" s="574">
        <f t="shared" si="19"/>
        <v>0</v>
      </c>
      <c r="E289" s="570"/>
      <c r="M289" s="569"/>
    </row>
    <row r="290" spans="1:13">
      <c r="A290" s="570"/>
      <c r="B290" s="572"/>
      <c r="C290" s="572"/>
      <c r="D290" s="574">
        <f t="shared" si="19"/>
        <v>0</v>
      </c>
      <c r="E290" s="570"/>
      <c r="M290" s="569"/>
    </row>
    <row r="291" spans="1:13">
      <c r="A291" s="570"/>
      <c r="B291" s="572"/>
      <c r="C291" s="572"/>
      <c r="D291" s="574">
        <f t="shared" si="19"/>
        <v>0</v>
      </c>
      <c r="E291" s="570"/>
      <c r="M291" s="569"/>
    </row>
    <row r="292" spans="1:13">
      <c r="A292" s="573"/>
      <c r="B292" s="572"/>
      <c r="C292" s="572"/>
      <c r="D292" s="571"/>
      <c r="E292" s="570"/>
      <c r="M292" s="569"/>
    </row>
    <row r="293" spans="1:13">
      <c r="M293" s="569"/>
    </row>
    <row r="294" spans="1:13">
      <c r="M294" s="569"/>
    </row>
    <row r="295" spans="1:13">
      <c r="M295" s="569"/>
    </row>
    <row r="296" spans="1:13">
      <c r="M296" s="569"/>
    </row>
    <row r="297" spans="1:13">
      <c r="M297" s="569"/>
    </row>
    <row r="298" spans="1:13">
      <c r="M298" s="569"/>
    </row>
    <row r="299" spans="1:13">
      <c r="M299" s="569"/>
    </row>
    <row r="300" spans="1:13">
      <c r="M300" s="569"/>
    </row>
    <row r="301" spans="1:13">
      <c r="M301" s="569"/>
    </row>
    <row r="302" spans="1:13">
      <c r="M302" s="569"/>
    </row>
    <row r="303" spans="1:13">
      <c r="M303" s="569"/>
    </row>
    <row r="304" spans="1:13">
      <c r="M304" s="569"/>
    </row>
    <row r="305" spans="13:13">
      <c r="M305" s="569"/>
    </row>
    <row r="306" spans="13:13">
      <c r="M306" s="569"/>
    </row>
    <row r="307" spans="13:13">
      <c r="M307" s="569"/>
    </row>
    <row r="308" spans="13:13">
      <c r="M308" s="569"/>
    </row>
    <row r="309" spans="13:13">
      <c r="M309" s="569"/>
    </row>
    <row r="310" spans="13:13">
      <c r="M310" s="569"/>
    </row>
    <row r="311" spans="13:13">
      <c r="M311" s="569"/>
    </row>
    <row r="312" spans="13:13">
      <c r="M312" s="569"/>
    </row>
    <row r="313" spans="13:13">
      <c r="M313" s="569"/>
    </row>
    <row r="314" spans="13:13">
      <c r="M314" s="569"/>
    </row>
    <row r="315" spans="13:13">
      <c r="M315" s="569"/>
    </row>
    <row r="316" spans="13:13">
      <c r="M316" s="569"/>
    </row>
    <row r="317" spans="13:13">
      <c r="M317" s="569"/>
    </row>
    <row r="318" spans="13:13">
      <c r="M318" s="569"/>
    </row>
    <row r="319" spans="13:13">
      <c r="M319" s="569"/>
    </row>
    <row r="320" spans="13:13">
      <c r="M320" s="569"/>
    </row>
    <row r="321" spans="13:13">
      <c r="M321" s="569"/>
    </row>
    <row r="322" spans="13:13">
      <c r="M322" s="569"/>
    </row>
    <row r="323" spans="13:13">
      <c r="M323" s="569"/>
    </row>
    <row r="324" spans="13:13">
      <c r="M324" s="569"/>
    </row>
    <row r="325" spans="13:13">
      <c r="M325" s="569"/>
    </row>
    <row r="326" spans="13:13">
      <c r="M326" s="569"/>
    </row>
    <row r="327" spans="13:13">
      <c r="M327" s="569"/>
    </row>
    <row r="328" spans="13:13">
      <c r="M328" s="569"/>
    </row>
    <row r="329" spans="13:13">
      <c r="M329" s="569"/>
    </row>
    <row r="330" spans="13:13">
      <c r="M330" s="569"/>
    </row>
    <row r="331" spans="13:13">
      <c r="M331" s="569"/>
    </row>
    <row r="332" spans="13:13">
      <c r="M332" s="569"/>
    </row>
    <row r="333" spans="13:13">
      <c r="M333" s="569"/>
    </row>
    <row r="334" spans="13:13">
      <c r="M334" s="569"/>
    </row>
    <row r="335" spans="13:13">
      <c r="M335" s="569"/>
    </row>
    <row r="336" spans="13:13">
      <c r="M336" s="569"/>
    </row>
    <row r="337" spans="13:13">
      <c r="M337" s="569"/>
    </row>
    <row r="338" spans="13:13">
      <c r="M338" s="569"/>
    </row>
    <row r="339" spans="13:13">
      <c r="M339" s="569"/>
    </row>
    <row r="340" spans="13:13">
      <c r="M340" s="569"/>
    </row>
    <row r="341" spans="13:13">
      <c r="M341" s="569"/>
    </row>
    <row r="342" spans="13:13">
      <c r="M342" s="569"/>
    </row>
    <row r="343" spans="13:13">
      <c r="M343" s="569"/>
    </row>
    <row r="344" spans="13:13">
      <c r="M344" s="569"/>
    </row>
    <row r="345" spans="13:13">
      <c r="M345" s="569"/>
    </row>
    <row r="346" spans="13:13">
      <c r="M346" s="569"/>
    </row>
    <row r="347" spans="13:13">
      <c r="M347" s="569"/>
    </row>
    <row r="348" spans="13:13">
      <c r="M348" s="569"/>
    </row>
  </sheetData>
  <mergeCells count="2">
    <mergeCell ref="C1:D1"/>
    <mergeCell ref="C250:D250"/>
  </mergeCells>
  <pageMargins left="0.75" right="0.75" top="1" bottom="1" header="0.5" footer="0.5"/>
  <pageSetup paperSize="8" scale="73" fitToHeight="0" orientation="portrait" verticalDpi="1200" r:id="rId1"/>
  <headerFooter alignWithMargins="0"/>
  <rowBreaks count="3" manualBreakCount="3">
    <brk id="120" max="11" man="1"/>
    <brk id="249" max="11" man="1"/>
    <brk id="271" max="11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9A6CE-3D23-5647-ACA2-E5FBE946D0E6}">
  <sheetPr>
    <tabColor theme="9" tint="0.39997558519241921"/>
  </sheetPr>
  <dimension ref="A1:BU74"/>
  <sheetViews>
    <sheetView workbookViewId="0">
      <selection activeCell="F56" sqref="F56"/>
    </sheetView>
  </sheetViews>
  <sheetFormatPr baseColWidth="10" defaultColWidth="8.83203125" defaultRowHeight="13"/>
  <cols>
    <col min="1" max="1" width="8.83203125" style="76"/>
    <col min="2" max="2" width="11.5" style="76" customWidth="1"/>
    <col min="3" max="3" width="7.1640625" style="76" customWidth="1"/>
    <col min="4" max="6" width="8.83203125" style="76"/>
    <col min="7" max="7" width="6.6640625" style="76" customWidth="1"/>
    <col min="8" max="12" width="8.83203125" style="76"/>
    <col min="13" max="13" width="11.5" style="76" bestFit="1" customWidth="1"/>
    <col min="14" max="16384" width="8.83203125" style="76"/>
  </cols>
  <sheetData>
    <row r="1" spans="1:73" customFormat="1" ht="15">
      <c r="A1" s="87"/>
      <c r="B1" s="87"/>
      <c r="C1" s="1204"/>
      <c r="D1" s="1204"/>
      <c r="E1" s="88"/>
      <c r="F1" s="89"/>
      <c r="G1" s="87"/>
      <c r="H1" s="90"/>
      <c r="I1" s="87"/>
      <c r="J1" s="1205"/>
      <c r="K1" s="1206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</row>
    <row r="2" spans="1:73" customFormat="1" ht="15">
      <c r="A2" s="87"/>
      <c r="B2" s="87"/>
      <c r="C2" s="91"/>
      <c r="D2" s="87"/>
      <c r="E2" s="88"/>
      <c r="F2" s="89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</row>
    <row r="3" spans="1:73" customFormat="1" ht="15">
      <c r="A3" s="87"/>
      <c r="B3" s="87"/>
      <c r="C3" s="87"/>
      <c r="D3" s="87"/>
      <c r="E3" s="88"/>
      <c r="F3" s="88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</row>
    <row r="4" spans="1:73" customFormat="1" ht="15">
      <c r="A4" s="87"/>
      <c r="B4" s="90"/>
      <c r="C4" s="90" t="s">
        <v>43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 t="s">
        <v>44</v>
      </c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87"/>
      <c r="BB4" s="87"/>
      <c r="BC4" s="87"/>
      <c r="BD4" s="87"/>
      <c r="BE4" s="87"/>
      <c r="BF4" s="87"/>
      <c r="BG4" s="87"/>
      <c r="BH4" s="87"/>
      <c r="BI4" s="87"/>
      <c r="BJ4" s="87"/>
      <c r="BK4" s="87"/>
      <c r="BL4" s="87"/>
      <c r="BM4" s="87"/>
      <c r="BN4" s="87"/>
      <c r="BO4" s="87"/>
      <c r="BP4" s="87"/>
      <c r="BQ4" s="87"/>
      <c r="BR4" s="87"/>
      <c r="BS4" s="87"/>
      <c r="BT4" s="87"/>
      <c r="BU4" s="87"/>
    </row>
    <row r="5" spans="1:73" customFormat="1" ht="15">
      <c r="A5" s="87"/>
      <c r="B5" s="90"/>
      <c r="C5" s="92" t="s">
        <v>45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 t="s">
        <v>46</v>
      </c>
      <c r="AG5" s="90"/>
      <c r="AH5" s="90"/>
      <c r="AI5" s="90"/>
      <c r="AJ5" s="90"/>
      <c r="AK5" s="90"/>
      <c r="AL5" s="90"/>
      <c r="AM5" s="90"/>
      <c r="AN5" s="90"/>
      <c r="AO5" s="90"/>
      <c r="AP5" s="90"/>
      <c r="AQ5" s="90"/>
      <c r="AR5" s="90"/>
      <c r="AS5" s="90"/>
      <c r="AT5" s="90"/>
      <c r="AU5" s="90"/>
      <c r="AV5" s="90"/>
      <c r="AW5" s="90"/>
      <c r="AX5" s="90"/>
      <c r="AY5" s="90"/>
      <c r="AZ5" s="90"/>
      <c r="BA5" s="90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</row>
    <row r="6" spans="1:73" s="72" customFormat="1" ht="15">
      <c r="A6" s="89"/>
      <c r="B6" s="93"/>
      <c r="C6" s="94" t="s">
        <v>47</v>
      </c>
      <c r="D6" s="95"/>
      <c r="E6" s="95"/>
      <c r="F6" s="96"/>
      <c r="G6" s="94" t="s">
        <v>48</v>
      </c>
      <c r="H6" s="95"/>
      <c r="I6" s="95"/>
      <c r="J6" s="96"/>
      <c r="K6" s="97"/>
      <c r="L6" s="94"/>
      <c r="M6" s="96"/>
      <c r="N6" s="95"/>
      <c r="O6" s="95"/>
      <c r="P6" s="96"/>
      <c r="Q6" s="1198" t="s">
        <v>49</v>
      </c>
      <c r="R6" s="1199"/>
      <c r="S6" s="1199"/>
      <c r="T6" s="1199"/>
      <c r="U6" s="1199"/>
      <c r="V6" s="1199"/>
      <c r="W6" s="1199"/>
      <c r="X6" s="1199"/>
      <c r="Y6" s="1199"/>
      <c r="Z6" s="1199"/>
      <c r="AA6" s="1199"/>
      <c r="AB6" s="1199"/>
      <c r="AC6" s="1199"/>
      <c r="AD6" s="238"/>
      <c r="AE6" s="97" t="s">
        <v>50</v>
      </c>
      <c r="AF6" s="97" t="s">
        <v>51</v>
      </c>
      <c r="AG6" s="97" t="s">
        <v>52</v>
      </c>
      <c r="AH6" s="1198" t="s">
        <v>53</v>
      </c>
      <c r="AI6" s="1199"/>
      <c r="AJ6" s="1199"/>
      <c r="AK6" s="1199"/>
      <c r="AL6" s="1199"/>
      <c r="AM6" s="1199"/>
      <c r="AN6" s="1199"/>
      <c r="AO6" s="1199"/>
      <c r="AP6" s="1199"/>
      <c r="AQ6" s="1199"/>
      <c r="AR6" s="1199"/>
      <c r="AS6" s="1199"/>
      <c r="AT6" s="1200"/>
      <c r="AU6" s="1198" t="s">
        <v>54</v>
      </c>
      <c r="AV6" s="1199"/>
      <c r="AW6" s="1199"/>
      <c r="AX6" s="1199"/>
      <c r="AY6" s="1199"/>
      <c r="AZ6" s="1199"/>
      <c r="BA6" s="1199"/>
      <c r="BB6" s="1199"/>
      <c r="BC6" s="1199"/>
      <c r="BD6" s="1199"/>
      <c r="BE6" s="1199"/>
      <c r="BF6" s="1199"/>
      <c r="BG6" s="1200"/>
      <c r="BH6" s="1198" t="s">
        <v>55</v>
      </c>
      <c r="BI6" s="1199"/>
      <c r="BJ6" s="1199"/>
      <c r="BK6" s="1199"/>
      <c r="BL6" s="1199"/>
      <c r="BM6" s="1199"/>
      <c r="BN6" s="1199"/>
      <c r="BO6" s="1199"/>
      <c r="BP6" s="1199"/>
      <c r="BQ6" s="1199"/>
      <c r="BR6" s="1199"/>
      <c r="BS6" s="1199"/>
      <c r="BT6" s="1200"/>
      <c r="BU6" s="89"/>
    </row>
    <row r="7" spans="1:73" s="72" customFormat="1" ht="28">
      <c r="A7" s="89"/>
      <c r="B7" s="93"/>
      <c r="C7" s="98" t="s">
        <v>16</v>
      </c>
      <c r="D7" s="99" t="s">
        <v>56</v>
      </c>
      <c r="E7" s="99" t="s">
        <v>57</v>
      </c>
      <c r="F7" s="100" t="s">
        <v>37</v>
      </c>
      <c r="G7" s="98" t="s">
        <v>16</v>
      </c>
      <c r="H7" s="99" t="s">
        <v>56</v>
      </c>
      <c r="I7" s="99" t="s">
        <v>57</v>
      </c>
      <c r="J7" s="100" t="s">
        <v>37</v>
      </c>
      <c r="K7" s="101" t="s">
        <v>58</v>
      </c>
      <c r="L7" s="98" t="s">
        <v>38</v>
      </c>
      <c r="M7" s="100" t="s">
        <v>59</v>
      </c>
      <c r="N7" s="99" t="s">
        <v>2</v>
      </c>
      <c r="O7" s="99" t="s">
        <v>60</v>
      </c>
      <c r="P7" s="100" t="s">
        <v>61</v>
      </c>
      <c r="Q7" s="236">
        <v>150</v>
      </c>
      <c r="R7" s="236">
        <v>225</v>
      </c>
      <c r="S7" s="102">
        <v>300</v>
      </c>
      <c r="T7" s="102">
        <v>375</v>
      </c>
      <c r="U7" s="102">
        <v>450</v>
      </c>
      <c r="V7" s="102">
        <v>525</v>
      </c>
      <c r="W7" s="102">
        <v>600</v>
      </c>
      <c r="X7" s="102">
        <v>675</v>
      </c>
      <c r="Y7" s="102">
        <v>750</v>
      </c>
      <c r="Z7" s="102">
        <v>900</v>
      </c>
      <c r="AA7" s="102">
        <v>1050</v>
      </c>
      <c r="AB7" s="102">
        <v>1200</v>
      </c>
      <c r="AC7" s="238">
        <v>1350</v>
      </c>
      <c r="AD7" s="238" t="s">
        <v>141</v>
      </c>
      <c r="AE7" s="103" t="s">
        <v>62</v>
      </c>
      <c r="AF7" s="103" t="s">
        <v>63</v>
      </c>
      <c r="AG7" s="103" t="s">
        <v>63</v>
      </c>
      <c r="AH7" s="236">
        <v>150</v>
      </c>
      <c r="AI7" s="237">
        <v>225</v>
      </c>
      <c r="AJ7" s="237">
        <v>300</v>
      </c>
      <c r="AK7" s="237">
        <v>375</v>
      </c>
      <c r="AL7" s="237">
        <v>450</v>
      </c>
      <c r="AM7" s="237">
        <v>525</v>
      </c>
      <c r="AN7" s="237">
        <v>600</v>
      </c>
      <c r="AO7" s="237">
        <v>675</v>
      </c>
      <c r="AP7" s="237">
        <v>750</v>
      </c>
      <c r="AQ7" s="237">
        <v>900</v>
      </c>
      <c r="AR7" s="237">
        <v>1050</v>
      </c>
      <c r="AS7" s="237">
        <v>1200</v>
      </c>
      <c r="AT7" s="238">
        <v>1350</v>
      </c>
      <c r="AU7" s="236">
        <v>150</v>
      </c>
      <c r="AV7" s="237">
        <v>225</v>
      </c>
      <c r="AW7" s="237">
        <v>300</v>
      </c>
      <c r="AX7" s="237">
        <v>375</v>
      </c>
      <c r="AY7" s="237">
        <v>450</v>
      </c>
      <c r="AZ7" s="237">
        <v>525</v>
      </c>
      <c r="BA7" s="237">
        <v>600</v>
      </c>
      <c r="BB7" s="237">
        <v>675</v>
      </c>
      <c r="BC7" s="237">
        <v>750</v>
      </c>
      <c r="BD7" s="237">
        <v>900</v>
      </c>
      <c r="BE7" s="237">
        <v>1050</v>
      </c>
      <c r="BF7" s="237">
        <v>1200</v>
      </c>
      <c r="BG7" s="237">
        <v>1350</v>
      </c>
      <c r="BH7" s="236">
        <v>150</v>
      </c>
      <c r="BI7" s="237">
        <v>225</v>
      </c>
      <c r="BJ7" s="237">
        <v>300</v>
      </c>
      <c r="BK7" s="237">
        <v>375</v>
      </c>
      <c r="BL7" s="237">
        <v>450</v>
      </c>
      <c r="BM7" s="237">
        <v>525</v>
      </c>
      <c r="BN7" s="237">
        <v>600</v>
      </c>
      <c r="BO7" s="237">
        <v>675</v>
      </c>
      <c r="BP7" s="237">
        <v>750</v>
      </c>
      <c r="BQ7" s="237">
        <v>900</v>
      </c>
      <c r="BR7" s="237">
        <v>1050</v>
      </c>
      <c r="BS7" s="237">
        <v>1200</v>
      </c>
      <c r="BT7" s="238">
        <v>1350</v>
      </c>
      <c r="BU7" s="89"/>
    </row>
    <row r="8" spans="1:73" s="80" customFormat="1" ht="15">
      <c r="A8" s="104"/>
      <c r="B8" s="104"/>
      <c r="C8" s="105" t="s">
        <v>142</v>
      </c>
      <c r="D8" s="523"/>
      <c r="E8" s="523"/>
      <c r="F8" s="106">
        <f>D8-E8</f>
        <v>0</v>
      </c>
      <c r="G8" s="105" t="s">
        <v>142</v>
      </c>
      <c r="H8" s="523"/>
      <c r="I8" s="523"/>
      <c r="J8" s="106">
        <f>H8-I8</f>
        <v>0</v>
      </c>
      <c r="K8" s="107">
        <f>CEILING((F8+J8)/2,0.25)</f>
        <v>0</v>
      </c>
      <c r="L8" s="108"/>
      <c r="M8" s="109"/>
      <c r="N8" s="110">
        <f>SUM(AU8:BG8)</f>
        <v>0</v>
      </c>
      <c r="O8" s="110">
        <v>0</v>
      </c>
      <c r="P8" s="111">
        <f>IF((N8-O8)&gt;0,N8-O8,0)</f>
        <v>0</v>
      </c>
      <c r="Q8" s="112" t="str">
        <f>IF($M8=$Q$7,$L8*$P8,"")</f>
        <v/>
      </c>
      <c r="R8" s="112" t="str">
        <f>IF($M8=$R$7,$L8*$P8,"")</f>
        <v/>
      </c>
      <c r="S8" s="113" t="str">
        <f>IF($M8=$S$7,$L8*$P8,"")</f>
        <v/>
      </c>
      <c r="T8" s="113" t="str">
        <f>IF($M8=$T$7,$L8*$P8,"")</f>
        <v/>
      </c>
      <c r="U8" s="113" t="str">
        <f>IF($M8=$U$7,$L8*$P8,"")</f>
        <v/>
      </c>
      <c r="V8" s="113" t="str">
        <f>IF($M8=$V$7,$L8*$P8,"")</f>
        <v/>
      </c>
      <c r="W8" s="113" t="str">
        <f t="shared" ref="W8:W15" si="0">IF($M8=$W$7,$L8*$P8,"")</f>
        <v/>
      </c>
      <c r="X8" s="113" t="str">
        <f>IF($M8=$X$7,$L8*$P8,"")</f>
        <v/>
      </c>
      <c r="Y8" s="113" t="str">
        <f t="shared" ref="Y8:Y15" si="1">IF($M8=$Y$7,$L8*$P8,"")</f>
        <v/>
      </c>
      <c r="Z8" s="113" t="str">
        <f t="shared" ref="Z8:Z15" si="2">IF($M8=$Z$7,$L8*$P8,"")</f>
        <v/>
      </c>
      <c r="AA8" s="113" t="str">
        <f>IF($M8=$AA$7,$L8*$P8,"")</f>
        <v/>
      </c>
      <c r="AB8" s="113" t="str">
        <f t="shared" ref="AB8:AB15" si="3">IF($M8=$AB$7,$L8*$P8,"")</f>
        <v/>
      </c>
      <c r="AC8" s="114" t="str">
        <f t="shared" ref="AC8:AC15" si="4">IF($M8=$AC$7,$L8*$P8,"")</f>
        <v/>
      </c>
      <c r="AD8" s="115"/>
      <c r="AE8" s="116">
        <f>L8*((M8/1000/2*M8/1000/2)*3.14)</f>
        <v>0</v>
      </c>
      <c r="AF8" s="117">
        <f>((M8/1000)+0.225*2)*(K8-0.45)*L8</f>
        <v>0</v>
      </c>
      <c r="AG8" s="118">
        <f>IF(L8&gt;0,(0.675*(2-0.45)*L8),0)</f>
        <v>0</v>
      </c>
      <c r="AH8" s="119">
        <v>0</v>
      </c>
      <c r="AI8" s="524">
        <v>0</v>
      </c>
      <c r="AJ8" s="524">
        <v>0</v>
      </c>
      <c r="AK8" s="524">
        <v>0</v>
      </c>
      <c r="AL8" s="524">
        <v>0</v>
      </c>
      <c r="AM8" s="524">
        <v>0</v>
      </c>
      <c r="AN8" s="524">
        <v>0</v>
      </c>
      <c r="AO8" s="524">
        <v>0</v>
      </c>
      <c r="AP8" s="524">
        <v>0</v>
      </c>
      <c r="AQ8" s="524">
        <v>0</v>
      </c>
      <c r="AR8" s="524">
        <v>0</v>
      </c>
      <c r="AS8" s="524">
        <v>0</v>
      </c>
      <c r="AT8" s="120">
        <v>0</v>
      </c>
      <c r="AU8" s="119">
        <f>IF($M8=$AH$7,AH8,0)</f>
        <v>0</v>
      </c>
      <c r="AV8" s="524">
        <f t="shared" ref="AV8:AV15" si="5">IF($M8=$AI$7,AI8,0)</f>
        <v>0</v>
      </c>
      <c r="AW8" s="524">
        <f t="shared" ref="AW8:AW15" si="6">IF($M8=$AJ$7,AJ8,0)</f>
        <v>0</v>
      </c>
      <c r="AX8" s="524">
        <f t="shared" ref="AX8:AX15" si="7">IF($M8=$AK$7,AK8,0)</f>
        <v>0</v>
      </c>
      <c r="AY8" s="524">
        <f t="shared" ref="AY8:AY15" si="8">IF($M8=$AL$7,AL8,0)</f>
        <v>0</v>
      </c>
      <c r="AZ8" s="524">
        <f t="shared" ref="AZ8:AZ15" si="9">IF($M8=$AM$7,AM8,0)</f>
        <v>0</v>
      </c>
      <c r="BA8" s="524">
        <f>IF($M8=$AN$7,AN8,0)</f>
        <v>0</v>
      </c>
      <c r="BB8" s="524">
        <f>IF($M8=$AO$7,AO8,0)</f>
        <v>0</v>
      </c>
      <c r="BC8" s="524">
        <f t="shared" ref="BC8:BC15" si="10">IF($M8=$AP$7,AP8,0)</f>
        <v>0</v>
      </c>
      <c r="BD8" s="524">
        <f t="shared" ref="BD8:BD15" si="11">IF($M8=$AQ$7,AQ8,0)</f>
        <v>0</v>
      </c>
      <c r="BE8" s="524">
        <f t="shared" ref="BE8:BE15" si="12">IF($M8=$AR$7,AR8,0)</f>
        <v>0</v>
      </c>
      <c r="BF8" s="524">
        <f t="shared" ref="BF8:BF15" si="13">IF($M8=$AS$7,AS8,0)</f>
        <v>0</v>
      </c>
      <c r="BG8" s="524">
        <f t="shared" ref="BG8:BG15" si="14">IF($M8=$AT$7,AT8,0)</f>
        <v>0</v>
      </c>
      <c r="BH8" s="119" t="str">
        <f>IF($M8=$Q$7,$L8,"")</f>
        <v/>
      </c>
      <c r="BI8" s="524" t="str">
        <f>IF($M8=$R$7,$L8,"")</f>
        <v/>
      </c>
      <c r="BJ8" s="524" t="str">
        <f>IF($M8=$S$7,$L8,"")</f>
        <v/>
      </c>
      <c r="BK8" s="524" t="str">
        <f>IF($M8=$T$7,$L8,"")</f>
        <v/>
      </c>
      <c r="BL8" s="524" t="str">
        <f>IF($M8=$U$7,$L8,"")</f>
        <v/>
      </c>
      <c r="BM8" s="524" t="str">
        <f>IF($M8=$V$7,$L8,"")</f>
        <v/>
      </c>
      <c r="BN8" s="524" t="str">
        <f t="shared" ref="BN8:BN15" si="15">IF($M8=$W$7,$L8,"")</f>
        <v/>
      </c>
      <c r="BO8" s="524" t="str">
        <f>IF($M8=$X$7,$L8,"")</f>
        <v/>
      </c>
      <c r="BP8" s="524" t="str">
        <f t="shared" ref="BP8:BP15" si="16">IF($M8=$Y$7,$L8,"")</f>
        <v/>
      </c>
      <c r="BQ8" s="524" t="str">
        <f t="shared" ref="BQ8:BQ15" si="17">IF($M8=$Z$7,$L8,"")</f>
        <v/>
      </c>
      <c r="BR8" s="524" t="str">
        <f t="shared" ref="BR8:BR15" si="18">IF($M8=$AA$7,$L8,"")</f>
        <v/>
      </c>
      <c r="BS8" s="524" t="str">
        <f t="shared" ref="BS8:BS15" si="19">IF($M8=$AB$7,$L8,"")</f>
        <v/>
      </c>
      <c r="BT8" s="120" t="str">
        <f t="shared" ref="BT8:BT14" si="20">IF($M8=$AC$7,$L8,"")</f>
        <v/>
      </c>
      <c r="BU8" s="104"/>
    </row>
    <row r="9" spans="1:73" s="80" customFormat="1" ht="15">
      <c r="A9" s="104"/>
      <c r="B9" s="104"/>
      <c r="C9" s="105" t="s">
        <v>142</v>
      </c>
      <c r="D9" s="525">
        <v>27</v>
      </c>
      <c r="E9" s="525">
        <v>24.47</v>
      </c>
      <c r="F9" s="106">
        <f t="shared" ref="F9:F15" si="21">D9-E9</f>
        <v>2.5300000000000011</v>
      </c>
      <c r="G9" s="105" t="s">
        <v>142</v>
      </c>
      <c r="H9" s="525">
        <v>26.5</v>
      </c>
      <c r="I9" s="525">
        <v>24.382999999999999</v>
      </c>
      <c r="J9" s="106">
        <f t="shared" ref="J9:J15" si="22">H9-I9</f>
        <v>2.1170000000000009</v>
      </c>
      <c r="K9" s="121">
        <f t="shared" ref="K9:K14" si="23">CEILING((F9+J9)/2,0.25)</f>
        <v>2.5</v>
      </c>
      <c r="L9" s="105">
        <v>177</v>
      </c>
      <c r="M9" s="122">
        <v>300</v>
      </c>
      <c r="N9" s="526">
        <f t="shared" ref="N9:N15" si="24">SUM(AU9:BG9)</f>
        <v>156</v>
      </c>
      <c r="O9" s="526">
        <v>109</v>
      </c>
      <c r="P9" s="123">
        <f t="shared" ref="P9:P15" si="25">IF((N9-O9)&gt;0,N9-O9,0)</f>
        <v>47</v>
      </c>
      <c r="Q9" s="112" t="str">
        <f t="shared" ref="Q9:Q15" si="26">IF($M9=$Q$7,$L9*$P9,"")</f>
        <v/>
      </c>
      <c r="R9" s="112" t="str">
        <f t="shared" ref="R9:R15" si="27">IF($M9=$R$7,$L9*$P9,"")</f>
        <v/>
      </c>
      <c r="S9" s="113">
        <f t="shared" ref="S9:S15" si="28">IF($M9=$S$7,$L9*$P9,"")</f>
        <v>8319</v>
      </c>
      <c r="T9" s="113" t="str">
        <f t="shared" ref="T9:T15" si="29">IF($M9=$T$7,$L9*$P9,"")</f>
        <v/>
      </c>
      <c r="U9" s="113" t="str">
        <f t="shared" ref="U9:U15" si="30">IF($M9=$U$7,$L9*$P9,"")</f>
        <v/>
      </c>
      <c r="V9" s="113" t="str">
        <f t="shared" ref="V9:V14" si="31">IF($M9=$V$7,$L9*$P9,"")</f>
        <v/>
      </c>
      <c r="W9" s="113" t="str">
        <f t="shared" si="0"/>
        <v/>
      </c>
      <c r="X9" s="113" t="str">
        <f t="shared" ref="X9:X15" si="32">IF($M9=$X$7,$L9*$P9,"")</f>
        <v/>
      </c>
      <c r="Y9" s="113" t="str">
        <f t="shared" si="1"/>
        <v/>
      </c>
      <c r="Z9" s="113" t="str">
        <f t="shared" si="2"/>
        <v/>
      </c>
      <c r="AA9" s="113" t="str">
        <f t="shared" ref="AA9:AA15" si="33">IF($M9=$AA$7,$L9*$P9,"")</f>
        <v/>
      </c>
      <c r="AB9" s="113" t="str">
        <f t="shared" si="3"/>
        <v/>
      </c>
      <c r="AC9" s="114" t="str">
        <f t="shared" si="4"/>
        <v/>
      </c>
      <c r="AD9" s="115"/>
      <c r="AE9" s="116">
        <f t="shared" ref="AE9:AE15" si="34">L9*((M9/1000/2*M9/1000/2)*3.14)</f>
        <v>12.505050000000001</v>
      </c>
      <c r="AF9" s="117">
        <f t="shared" ref="AF9:AF15" si="35">((M9/1000)+0.225*2)*(K9-0.45)*L9</f>
        <v>272.13749999999999</v>
      </c>
      <c r="AG9" s="118">
        <f t="shared" ref="AG9:AG15" si="36">IF(L9&gt;0,(0.675*(2-0.45)*L9),0)</f>
        <v>185.18625000000003</v>
      </c>
      <c r="AH9" s="119">
        <v>119</v>
      </c>
      <c r="AI9" s="524">
        <v>131</v>
      </c>
      <c r="AJ9" s="524">
        <v>156</v>
      </c>
      <c r="AK9" s="524">
        <v>185</v>
      </c>
      <c r="AL9" s="524">
        <v>181</v>
      </c>
      <c r="AM9" s="524">
        <v>190</v>
      </c>
      <c r="AN9" s="524">
        <v>201</v>
      </c>
      <c r="AO9" s="524">
        <v>219</v>
      </c>
      <c r="AP9" s="524">
        <v>263</v>
      </c>
      <c r="AQ9" s="524">
        <v>343</v>
      </c>
      <c r="AR9" s="524">
        <v>393</v>
      </c>
      <c r="AS9" s="524">
        <v>453</v>
      </c>
      <c r="AT9" s="120">
        <v>513</v>
      </c>
      <c r="AU9" s="119">
        <f t="shared" ref="AU9:AU15" si="37">IF($M9=$AH$7,AH9,0)</f>
        <v>0</v>
      </c>
      <c r="AV9" s="524">
        <f t="shared" si="5"/>
        <v>0</v>
      </c>
      <c r="AW9" s="524">
        <f t="shared" si="6"/>
        <v>156</v>
      </c>
      <c r="AX9" s="524">
        <f t="shared" si="7"/>
        <v>0</v>
      </c>
      <c r="AY9" s="524">
        <f t="shared" si="8"/>
        <v>0</v>
      </c>
      <c r="AZ9" s="524">
        <f t="shared" si="9"/>
        <v>0</v>
      </c>
      <c r="BA9" s="524">
        <f t="shared" ref="BA9:BA15" si="38">IF($M9=$AN$7,AN9,0)</f>
        <v>0</v>
      </c>
      <c r="BB9" s="524">
        <f t="shared" ref="BB9:BB15" si="39">IF($M9=$AO$7,AO9,0)</f>
        <v>0</v>
      </c>
      <c r="BC9" s="524">
        <f t="shared" si="10"/>
        <v>0</v>
      </c>
      <c r="BD9" s="524">
        <f t="shared" si="11"/>
        <v>0</v>
      </c>
      <c r="BE9" s="524">
        <f t="shared" si="12"/>
        <v>0</v>
      </c>
      <c r="BF9" s="524">
        <f t="shared" si="13"/>
        <v>0</v>
      </c>
      <c r="BG9" s="524">
        <f t="shared" si="14"/>
        <v>0</v>
      </c>
      <c r="BH9" s="119" t="str">
        <f t="shared" ref="BH9:BH14" si="40">IF($M9=$Q$7,$L9,"")</f>
        <v/>
      </c>
      <c r="BI9" s="524" t="str">
        <f t="shared" ref="BI9:BI15" si="41">IF($M9=$R$7,$L9,"")</f>
        <v/>
      </c>
      <c r="BJ9" s="524">
        <f t="shared" ref="BJ9:BJ15" si="42">IF($M9=$S$7,$L9,"")</f>
        <v>177</v>
      </c>
      <c r="BK9" s="524" t="str">
        <f t="shared" ref="BK9:BK15" si="43">IF($M9=$T$7,$L9,"")</f>
        <v/>
      </c>
      <c r="BL9" s="524" t="str">
        <f t="shared" ref="BL9:BL15" si="44">IF($M9=$U$7,$L9,"")</f>
        <v/>
      </c>
      <c r="BM9" s="524" t="str">
        <f t="shared" ref="BM9:BM15" si="45">IF($M9=$V$7,$L9,"")</f>
        <v/>
      </c>
      <c r="BN9" s="524" t="str">
        <f t="shared" si="15"/>
        <v/>
      </c>
      <c r="BO9" s="524" t="str">
        <f t="shared" ref="BO9:BO15" si="46">IF($M9=$X$7,$L9,"")</f>
        <v/>
      </c>
      <c r="BP9" s="524" t="str">
        <f t="shared" si="16"/>
        <v/>
      </c>
      <c r="BQ9" s="524" t="str">
        <f t="shared" si="17"/>
        <v/>
      </c>
      <c r="BR9" s="524" t="str">
        <f t="shared" si="18"/>
        <v/>
      </c>
      <c r="BS9" s="524" t="str">
        <f t="shared" si="19"/>
        <v/>
      </c>
      <c r="BT9" s="120" t="str">
        <f t="shared" si="20"/>
        <v/>
      </c>
      <c r="BU9" s="104"/>
    </row>
    <row r="10" spans="1:73" s="80" customFormat="1" ht="15">
      <c r="A10" s="104"/>
      <c r="B10" s="104"/>
      <c r="C10" s="105" t="s">
        <v>142</v>
      </c>
      <c r="D10" s="525">
        <v>18.652999999999999</v>
      </c>
      <c r="E10" s="525">
        <v>16.61</v>
      </c>
      <c r="F10" s="106">
        <f t="shared" si="21"/>
        <v>2.0429999999999993</v>
      </c>
      <c r="G10" s="105" t="s">
        <v>142</v>
      </c>
      <c r="H10" s="525">
        <v>18.652999999999999</v>
      </c>
      <c r="I10" s="525">
        <v>16.61</v>
      </c>
      <c r="J10" s="106">
        <f t="shared" si="22"/>
        <v>2.0429999999999993</v>
      </c>
      <c r="K10" s="121">
        <f t="shared" si="23"/>
        <v>2.25</v>
      </c>
      <c r="L10" s="105">
        <v>62</v>
      </c>
      <c r="M10" s="122">
        <v>375</v>
      </c>
      <c r="N10" s="526">
        <f t="shared" si="24"/>
        <v>160</v>
      </c>
      <c r="O10" s="526">
        <v>109</v>
      </c>
      <c r="P10" s="123">
        <f t="shared" si="25"/>
        <v>51</v>
      </c>
      <c r="Q10" s="112" t="str">
        <f t="shared" si="26"/>
        <v/>
      </c>
      <c r="R10" s="112" t="str">
        <f t="shared" si="27"/>
        <v/>
      </c>
      <c r="S10" s="113" t="str">
        <f t="shared" si="28"/>
        <v/>
      </c>
      <c r="T10" s="113">
        <f t="shared" si="29"/>
        <v>3162</v>
      </c>
      <c r="U10" s="113" t="str">
        <f t="shared" si="30"/>
        <v/>
      </c>
      <c r="V10" s="113" t="str">
        <f t="shared" si="31"/>
        <v/>
      </c>
      <c r="W10" s="113" t="str">
        <f t="shared" si="0"/>
        <v/>
      </c>
      <c r="X10" s="113" t="str">
        <f>IF($M10=$X$7,$L10*$P10,"")</f>
        <v/>
      </c>
      <c r="Y10" s="113" t="str">
        <f t="shared" si="1"/>
        <v/>
      </c>
      <c r="Z10" s="113" t="str">
        <f t="shared" si="2"/>
        <v/>
      </c>
      <c r="AA10" s="113" t="str">
        <f t="shared" si="33"/>
        <v/>
      </c>
      <c r="AB10" s="113" t="str">
        <f t="shared" si="3"/>
        <v/>
      </c>
      <c r="AC10" s="114" t="str">
        <f t="shared" si="4"/>
        <v/>
      </c>
      <c r="AD10" s="115"/>
      <c r="AE10" s="116">
        <f t="shared" si="34"/>
        <v>6.8442187500000005</v>
      </c>
      <c r="AF10" s="117">
        <f t="shared" si="35"/>
        <v>92.07</v>
      </c>
      <c r="AG10" s="118">
        <f t="shared" si="36"/>
        <v>64.867500000000007</v>
      </c>
      <c r="AH10" s="119">
        <v>108</v>
      </c>
      <c r="AI10" s="524">
        <v>120</v>
      </c>
      <c r="AJ10" s="524">
        <v>136</v>
      </c>
      <c r="AK10" s="524">
        <v>160</v>
      </c>
      <c r="AL10" s="524">
        <v>174</v>
      </c>
      <c r="AM10" s="524">
        <v>179</v>
      </c>
      <c r="AN10" s="524">
        <v>185</v>
      </c>
      <c r="AO10" s="524">
        <v>203</v>
      </c>
      <c r="AP10" s="524">
        <v>247</v>
      </c>
      <c r="AQ10" s="524">
        <v>327</v>
      </c>
      <c r="AR10" s="524">
        <v>377</v>
      </c>
      <c r="AS10" s="524">
        <v>437</v>
      </c>
      <c r="AT10" s="120">
        <v>497</v>
      </c>
      <c r="AU10" s="119">
        <f t="shared" si="37"/>
        <v>0</v>
      </c>
      <c r="AV10" s="524">
        <f t="shared" si="5"/>
        <v>0</v>
      </c>
      <c r="AW10" s="524">
        <f t="shared" si="6"/>
        <v>0</v>
      </c>
      <c r="AX10" s="524">
        <f t="shared" si="7"/>
        <v>160</v>
      </c>
      <c r="AY10" s="524">
        <f t="shared" si="8"/>
        <v>0</v>
      </c>
      <c r="AZ10" s="524">
        <f t="shared" si="9"/>
        <v>0</v>
      </c>
      <c r="BA10" s="524">
        <f t="shared" si="38"/>
        <v>0</v>
      </c>
      <c r="BB10" s="524">
        <f t="shared" si="39"/>
        <v>0</v>
      </c>
      <c r="BC10" s="524">
        <f t="shared" si="10"/>
        <v>0</v>
      </c>
      <c r="BD10" s="524">
        <f t="shared" si="11"/>
        <v>0</v>
      </c>
      <c r="BE10" s="524">
        <f t="shared" si="12"/>
        <v>0</v>
      </c>
      <c r="BF10" s="524">
        <f t="shared" si="13"/>
        <v>0</v>
      </c>
      <c r="BG10" s="524">
        <f t="shared" si="14"/>
        <v>0</v>
      </c>
      <c r="BH10" s="119" t="str">
        <f t="shared" si="40"/>
        <v/>
      </c>
      <c r="BI10" s="524" t="str">
        <f t="shared" si="41"/>
        <v/>
      </c>
      <c r="BJ10" s="524" t="str">
        <f t="shared" si="42"/>
        <v/>
      </c>
      <c r="BK10" s="524">
        <f t="shared" si="43"/>
        <v>62</v>
      </c>
      <c r="BL10" s="524" t="str">
        <f t="shared" si="44"/>
        <v/>
      </c>
      <c r="BM10" s="524" t="str">
        <f t="shared" si="45"/>
        <v/>
      </c>
      <c r="BN10" s="524" t="str">
        <f t="shared" si="15"/>
        <v/>
      </c>
      <c r="BO10" s="524" t="str">
        <f t="shared" si="46"/>
        <v/>
      </c>
      <c r="BP10" s="524" t="str">
        <f t="shared" si="16"/>
        <v/>
      </c>
      <c r="BQ10" s="524" t="str">
        <f t="shared" si="17"/>
        <v/>
      </c>
      <c r="BR10" s="524" t="str">
        <f t="shared" si="18"/>
        <v/>
      </c>
      <c r="BS10" s="524" t="str">
        <f t="shared" si="19"/>
        <v/>
      </c>
      <c r="BT10" s="120" t="str">
        <f t="shared" si="20"/>
        <v/>
      </c>
      <c r="BU10" s="104"/>
    </row>
    <row r="11" spans="1:73" s="80" customFormat="1" ht="15">
      <c r="A11" s="104"/>
      <c r="B11" s="104"/>
      <c r="C11" s="105" t="s">
        <v>142</v>
      </c>
      <c r="D11" s="84">
        <v>19.044</v>
      </c>
      <c r="E11" s="84">
        <v>16.739999999999998</v>
      </c>
      <c r="F11" s="106">
        <f t="shared" si="21"/>
        <v>2.304000000000002</v>
      </c>
      <c r="G11" s="105" t="s">
        <v>142</v>
      </c>
      <c r="H11" s="84">
        <v>19.044</v>
      </c>
      <c r="I11" s="84">
        <v>16.739999999999998</v>
      </c>
      <c r="J11" s="106">
        <f t="shared" si="22"/>
        <v>2.304000000000002</v>
      </c>
      <c r="K11" s="121">
        <f t="shared" si="23"/>
        <v>2.5</v>
      </c>
      <c r="L11" s="105">
        <v>381</v>
      </c>
      <c r="M11" s="122">
        <v>450</v>
      </c>
      <c r="N11" s="526">
        <f t="shared" si="24"/>
        <v>181</v>
      </c>
      <c r="O11" s="526">
        <v>109</v>
      </c>
      <c r="P11" s="123">
        <f t="shared" si="25"/>
        <v>72</v>
      </c>
      <c r="Q11" s="112" t="str">
        <f t="shared" si="26"/>
        <v/>
      </c>
      <c r="R11" s="112" t="str">
        <f t="shared" si="27"/>
        <v/>
      </c>
      <c r="S11" s="113" t="str">
        <f t="shared" si="28"/>
        <v/>
      </c>
      <c r="T11" s="113" t="str">
        <f t="shared" si="29"/>
        <v/>
      </c>
      <c r="U11" s="113">
        <f t="shared" si="30"/>
        <v>27432</v>
      </c>
      <c r="V11" s="113" t="str">
        <f t="shared" si="31"/>
        <v/>
      </c>
      <c r="W11" s="113" t="str">
        <f t="shared" si="0"/>
        <v/>
      </c>
      <c r="X11" s="113" t="str">
        <f t="shared" si="32"/>
        <v/>
      </c>
      <c r="Y11" s="113" t="str">
        <f t="shared" si="1"/>
        <v/>
      </c>
      <c r="Z11" s="113" t="str">
        <f t="shared" si="2"/>
        <v/>
      </c>
      <c r="AA11" s="113" t="str">
        <f t="shared" si="33"/>
        <v/>
      </c>
      <c r="AB11" s="113" t="str">
        <f t="shared" si="3"/>
        <v/>
      </c>
      <c r="AC11" s="114" t="str">
        <f t="shared" si="4"/>
        <v/>
      </c>
      <c r="AD11" s="115"/>
      <c r="AE11" s="116">
        <f t="shared" si="34"/>
        <v>60.564712500000006</v>
      </c>
      <c r="AF11" s="117">
        <f t="shared" si="35"/>
        <v>702.94499999999994</v>
      </c>
      <c r="AG11" s="118">
        <f t="shared" si="36"/>
        <v>398.62125000000003</v>
      </c>
      <c r="AH11" s="119">
        <v>119</v>
      </c>
      <c r="AI11" s="524">
        <v>131</v>
      </c>
      <c r="AJ11" s="524">
        <v>156</v>
      </c>
      <c r="AK11" s="524">
        <v>185</v>
      </c>
      <c r="AL11" s="524">
        <v>181</v>
      </c>
      <c r="AM11" s="524">
        <v>190</v>
      </c>
      <c r="AN11" s="524">
        <v>201</v>
      </c>
      <c r="AO11" s="524">
        <v>219</v>
      </c>
      <c r="AP11" s="524">
        <v>263</v>
      </c>
      <c r="AQ11" s="524">
        <v>343</v>
      </c>
      <c r="AR11" s="524">
        <v>393</v>
      </c>
      <c r="AS11" s="524">
        <v>453</v>
      </c>
      <c r="AT11" s="120">
        <v>513</v>
      </c>
      <c r="AU11" s="119">
        <f t="shared" si="37"/>
        <v>0</v>
      </c>
      <c r="AV11" s="524">
        <f t="shared" si="5"/>
        <v>0</v>
      </c>
      <c r="AW11" s="524">
        <f t="shared" si="6"/>
        <v>0</v>
      </c>
      <c r="AX11" s="524">
        <f t="shared" si="7"/>
        <v>0</v>
      </c>
      <c r="AY11" s="524">
        <f t="shared" si="8"/>
        <v>181</v>
      </c>
      <c r="AZ11" s="524">
        <f t="shared" si="9"/>
        <v>0</v>
      </c>
      <c r="BA11" s="524">
        <f t="shared" si="38"/>
        <v>0</v>
      </c>
      <c r="BB11" s="524">
        <f t="shared" si="39"/>
        <v>0</v>
      </c>
      <c r="BC11" s="524">
        <f t="shared" si="10"/>
        <v>0</v>
      </c>
      <c r="BD11" s="524">
        <f t="shared" si="11"/>
        <v>0</v>
      </c>
      <c r="BE11" s="524">
        <f t="shared" si="12"/>
        <v>0</v>
      </c>
      <c r="BF11" s="524">
        <f t="shared" si="13"/>
        <v>0</v>
      </c>
      <c r="BG11" s="524">
        <f t="shared" si="14"/>
        <v>0</v>
      </c>
      <c r="BH11" s="119" t="str">
        <f t="shared" si="40"/>
        <v/>
      </c>
      <c r="BI11" s="524" t="str">
        <f t="shared" si="41"/>
        <v/>
      </c>
      <c r="BJ11" s="524" t="str">
        <f t="shared" si="42"/>
        <v/>
      </c>
      <c r="BK11" s="524" t="str">
        <f t="shared" si="43"/>
        <v/>
      </c>
      <c r="BL11" s="524">
        <f t="shared" si="44"/>
        <v>381</v>
      </c>
      <c r="BM11" s="524" t="str">
        <f t="shared" si="45"/>
        <v/>
      </c>
      <c r="BN11" s="524" t="str">
        <f t="shared" si="15"/>
        <v/>
      </c>
      <c r="BO11" s="524" t="str">
        <f t="shared" si="46"/>
        <v/>
      </c>
      <c r="BP11" s="524" t="str">
        <f t="shared" si="16"/>
        <v/>
      </c>
      <c r="BQ11" s="524" t="str">
        <f t="shared" si="17"/>
        <v/>
      </c>
      <c r="BR11" s="524" t="str">
        <f t="shared" si="18"/>
        <v/>
      </c>
      <c r="BS11" s="524" t="str">
        <f t="shared" si="19"/>
        <v/>
      </c>
      <c r="BT11" s="120" t="str">
        <f t="shared" si="20"/>
        <v/>
      </c>
      <c r="BU11" s="104"/>
    </row>
    <row r="12" spans="1:73" s="80" customFormat="1" ht="15">
      <c r="A12" s="104"/>
      <c r="B12" s="104"/>
      <c r="C12" s="105" t="s">
        <v>142</v>
      </c>
      <c r="D12" s="525">
        <v>19.901</v>
      </c>
      <c r="E12" s="525">
        <v>17.484999999999999</v>
      </c>
      <c r="F12" s="106">
        <f t="shared" si="21"/>
        <v>2.4160000000000004</v>
      </c>
      <c r="G12" s="105" t="s">
        <v>142</v>
      </c>
      <c r="H12" s="525">
        <v>19.901</v>
      </c>
      <c r="I12" s="525">
        <v>17.484999999999999</v>
      </c>
      <c r="J12" s="106">
        <f t="shared" si="22"/>
        <v>2.4160000000000004</v>
      </c>
      <c r="K12" s="121">
        <f t="shared" si="23"/>
        <v>2.5</v>
      </c>
      <c r="L12" s="105">
        <v>112</v>
      </c>
      <c r="M12" s="122">
        <v>525</v>
      </c>
      <c r="N12" s="526">
        <f t="shared" si="24"/>
        <v>190</v>
      </c>
      <c r="O12" s="526">
        <v>109</v>
      </c>
      <c r="P12" s="123">
        <f t="shared" si="25"/>
        <v>81</v>
      </c>
      <c r="Q12" s="112" t="str">
        <f t="shared" si="26"/>
        <v/>
      </c>
      <c r="R12" s="112" t="str">
        <f t="shared" si="27"/>
        <v/>
      </c>
      <c r="S12" s="113" t="str">
        <f t="shared" si="28"/>
        <v/>
      </c>
      <c r="T12" s="113" t="str">
        <f t="shared" si="29"/>
        <v/>
      </c>
      <c r="U12" s="113" t="str">
        <f t="shared" si="30"/>
        <v/>
      </c>
      <c r="V12" s="113">
        <f t="shared" si="31"/>
        <v>9072</v>
      </c>
      <c r="W12" s="113" t="str">
        <f t="shared" si="0"/>
        <v/>
      </c>
      <c r="X12" s="113" t="str">
        <f t="shared" si="32"/>
        <v/>
      </c>
      <c r="Y12" s="113" t="str">
        <f t="shared" si="1"/>
        <v/>
      </c>
      <c r="Z12" s="113" t="str">
        <f t="shared" si="2"/>
        <v/>
      </c>
      <c r="AA12" s="113" t="str">
        <f t="shared" si="33"/>
        <v/>
      </c>
      <c r="AB12" s="113" t="str">
        <f t="shared" si="3"/>
        <v/>
      </c>
      <c r="AC12" s="114" t="str">
        <f t="shared" si="4"/>
        <v/>
      </c>
      <c r="AD12" s="115"/>
      <c r="AE12" s="116">
        <f t="shared" si="34"/>
        <v>24.232950000000002</v>
      </c>
      <c r="AF12" s="117">
        <f t="shared" si="35"/>
        <v>223.86</v>
      </c>
      <c r="AG12" s="118">
        <f t="shared" si="36"/>
        <v>117.18</v>
      </c>
      <c r="AH12" s="119">
        <v>119</v>
      </c>
      <c r="AI12" s="524">
        <v>131</v>
      </c>
      <c r="AJ12" s="524">
        <v>156</v>
      </c>
      <c r="AK12" s="524">
        <v>185</v>
      </c>
      <c r="AL12" s="524">
        <v>181</v>
      </c>
      <c r="AM12" s="524">
        <v>190</v>
      </c>
      <c r="AN12" s="524">
        <v>201</v>
      </c>
      <c r="AO12" s="524">
        <v>219</v>
      </c>
      <c r="AP12" s="524">
        <v>263</v>
      </c>
      <c r="AQ12" s="524">
        <v>343</v>
      </c>
      <c r="AR12" s="524">
        <v>393</v>
      </c>
      <c r="AS12" s="524">
        <v>453</v>
      </c>
      <c r="AT12" s="120">
        <v>513</v>
      </c>
      <c r="AU12" s="119">
        <f t="shared" si="37"/>
        <v>0</v>
      </c>
      <c r="AV12" s="524">
        <f t="shared" si="5"/>
        <v>0</v>
      </c>
      <c r="AW12" s="524">
        <f t="shared" si="6"/>
        <v>0</v>
      </c>
      <c r="AX12" s="524">
        <f t="shared" si="7"/>
        <v>0</v>
      </c>
      <c r="AY12" s="524">
        <f t="shared" si="8"/>
        <v>0</v>
      </c>
      <c r="AZ12" s="524">
        <f t="shared" si="9"/>
        <v>190</v>
      </c>
      <c r="BA12" s="524">
        <f t="shared" si="38"/>
        <v>0</v>
      </c>
      <c r="BB12" s="524">
        <f t="shared" si="39"/>
        <v>0</v>
      </c>
      <c r="BC12" s="524">
        <f t="shared" si="10"/>
        <v>0</v>
      </c>
      <c r="BD12" s="524">
        <f t="shared" si="11"/>
        <v>0</v>
      </c>
      <c r="BE12" s="524">
        <f t="shared" si="12"/>
        <v>0</v>
      </c>
      <c r="BF12" s="524">
        <f t="shared" si="13"/>
        <v>0</v>
      </c>
      <c r="BG12" s="524">
        <f t="shared" si="14"/>
        <v>0</v>
      </c>
      <c r="BH12" s="119" t="str">
        <f t="shared" si="40"/>
        <v/>
      </c>
      <c r="BI12" s="524" t="str">
        <f t="shared" si="41"/>
        <v/>
      </c>
      <c r="BJ12" s="524" t="str">
        <f t="shared" si="42"/>
        <v/>
      </c>
      <c r="BK12" s="524" t="str">
        <f t="shared" si="43"/>
        <v/>
      </c>
      <c r="BL12" s="524" t="str">
        <f t="shared" si="44"/>
        <v/>
      </c>
      <c r="BM12" s="524">
        <f t="shared" si="45"/>
        <v>112</v>
      </c>
      <c r="BN12" s="524" t="str">
        <f t="shared" si="15"/>
        <v/>
      </c>
      <c r="BO12" s="524" t="str">
        <f t="shared" si="46"/>
        <v/>
      </c>
      <c r="BP12" s="524" t="str">
        <f t="shared" si="16"/>
        <v/>
      </c>
      <c r="BQ12" s="524" t="str">
        <f t="shared" si="17"/>
        <v/>
      </c>
      <c r="BR12" s="524" t="str">
        <f t="shared" si="18"/>
        <v/>
      </c>
      <c r="BS12" s="524" t="str">
        <f t="shared" si="19"/>
        <v/>
      </c>
      <c r="BT12" s="120" t="str">
        <f t="shared" si="20"/>
        <v/>
      </c>
      <c r="BU12" s="104"/>
    </row>
    <row r="13" spans="1:73" s="80" customFormat="1" ht="15">
      <c r="A13" s="104"/>
      <c r="B13" s="104"/>
      <c r="C13" s="105" t="s">
        <v>142</v>
      </c>
      <c r="D13" s="525">
        <v>19.901</v>
      </c>
      <c r="E13" s="525">
        <v>17.484999999999999</v>
      </c>
      <c r="F13" s="106">
        <f t="shared" si="21"/>
        <v>2.4160000000000004</v>
      </c>
      <c r="G13" s="105" t="s">
        <v>142</v>
      </c>
      <c r="H13" s="525">
        <v>19.901</v>
      </c>
      <c r="I13" s="525">
        <v>17.484999999999999</v>
      </c>
      <c r="J13" s="106">
        <f t="shared" si="22"/>
        <v>2.4160000000000004</v>
      </c>
      <c r="K13" s="121">
        <f t="shared" si="23"/>
        <v>2.5</v>
      </c>
      <c r="L13" s="105">
        <v>328</v>
      </c>
      <c r="M13" s="122">
        <v>900</v>
      </c>
      <c r="N13" s="526">
        <f t="shared" si="24"/>
        <v>343</v>
      </c>
      <c r="O13" s="526">
        <v>109</v>
      </c>
      <c r="P13" s="123">
        <f t="shared" si="25"/>
        <v>234</v>
      </c>
      <c r="Q13" s="112" t="str">
        <f t="shared" si="26"/>
        <v/>
      </c>
      <c r="R13" s="112" t="str">
        <f t="shared" si="27"/>
        <v/>
      </c>
      <c r="S13" s="113" t="str">
        <f t="shared" si="28"/>
        <v/>
      </c>
      <c r="T13" s="113" t="str">
        <f t="shared" si="29"/>
        <v/>
      </c>
      <c r="U13" s="113" t="str">
        <f t="shared" si="30"/>
        <v/>
      </c>
      <c r="V13" s="113" t="str">
        <f t="shared" si="31"/>
        <v/>
      </c>
      <c r="W13" s="113" t="str">
        <f t="shared" si="0"/>
        <v/>
      </c>
      <c r="X13" s="113" t="str">
        <f t="shared" si="32"/>
        <v/>
      </c>
      <c r="Y13" s="113" t="str">
        <f t="shared" si="1"/>
        <v/>
      </c>
      <c r="Z13" s="113">
        <f t="shared" si="2"/>
        <v>76752</v>
      </c>
      <c r="AA13" s="113" t="str">
        <f t="shared" si="33"/>
        <v/>
      </c>
      <c r="AB13" s="113" t="str">
        <f t="shared" si="3"/>
        <v/>
      </c>
      <c r="AC13" s="114" t="str">
        <f t="shared" si="4"/>
        <v/>
      </c>
      <c r="AD13" s="115"/>
      <c r="AE13" s="116">
        <f t="shared" si="34"/>
        <v>208.55880000000002</v>
      </c>
      <c r="AF13" s="117">
        <f t="shared" si="35"/>
        <v>907.74</v>
      </c>
      <c r="AG13" s="118">
        <f t="shared" si="36"/>
        <v>343.17</v>
      </c>
      <c r="AH13" s="119">
        <v>119</v>
      </c>
      <c r="AI13" s="524">
        <v>131</v>
      </c>
      <c r="AJ13" s="524">
        <v>156</v>
      </c>
      <c r="AK13" s="524">
        <v>185</v>
      </c>
      <c r="AL13" s="524">
        <v>181</v>
      </c>
      <c r="AM13" s="524">
        <v>190</v>
      </c>
      <c r="AN13" s="524">
        <v>201</v>
      </c>
      <c r="AO13" s="524">
        <v>219</v>
      </c>
      <c r="AP13" s="524">
        <v>263</v>
      </c>
      <c r="AQ13" s="524">
        <v>343</v>
      </c>
      <c r="AR13" s="524">
        <v>393</v>
      </c>
      <c r="AS13" s="524">
        <v>453</v>
      </c>
      <c r="AT13" s="120">
        <v>513</v>
      </c>
      <c r="AU13" s="119">
        <f t="shared" si="37"/>
        <v>0</v>
      </c>
      <c r="AV13" s="524">
        <f t="shared" si="5"/>
        <v>0</v>
      </c>
      <c r="AW13" s="524">
        <f t="shared" si="6"/>
        <v>0</v>
      </c>
      <c r="AX13" s="524">
        <f t="shared" si="7"/>
        <v>0</v>
      </c>
      <c r="AY13" s="524">
        <f t="shared" si="8"/>
        <v>0</v>
      </c>
      <c r="AZ13" s="524">
        <f t="shared" si="9"/>
        <v>0</v>
      </c>
      <c r="BA13" s="524">
        <f t="shared" si="38"/>
        <v>0</v>
      </c>
      <c r="BB13" s="524">
        <f t="shared" si="39"/>
        <v>0</v>
      </c>
      <c r="BC13" s="524">
        <f t="shared" si="10"/>
        <v>0</v>
      </c>
      <c r="BD13" s="524">
        <f t="shared" si="11"/>
        <v>343</v>
      </c>
      <c r="BE13" s="524">
        <f t="shared" si="12"/>
        <v>0</v>
      </c>
      <c r="BF13" s="524">
        <f t="shared" si="13"/>
        <v>0</v>
      </c>
      <c r="BG13" s="524">
        <f t="shared" si="14"/>
        <v>0</v>
      </c>
      <c r="BH13" s="119" t="str">
        <f t="shared" si="40"/>
        <v/>
      </c>
      <c r="BI13" s="524" t="str">
        <f t="shared" si="41"/>
        <v/>
      </c>
      <c r="BJ13" s="524" t="str">
        <f t="shared" si="42"/>
        <v/>
      </c>
      <c r="BK13" s="524" t="str">
        <f t="shared" si="43"/>
        <v/>
      </c>
      <c r="BL13" s="524" t="str">
        <f t="shared" si="44"/>
        <v/>
      </c>
      <c r="BM13" s="524" t="str">
        <f t="shared" si="45"/>
        <v/>
      </c>
      <c r="BN13" s="524" t="str">
        <f t="shared" si="15"/>
        <v/>
      </c>
      <c r="BO13" s="524" t="str">
        <f t="shared" si="46"/>
        <v/>
      </c>
      <c r="BP13" s="524" t="str">
        <f t="shared" si="16"/>
        <v/>
      </c>
      <c r="BQ13" s="524">
        <f t="shared" si="17"/>
        <v>328</v>
      </c>
      <c r="BR13" s="524" t="str">
        <f t="shared" si="18"/>
        <v/>
      </c>
      <c r="BS13" s="524" t="str">
        <f t="shared" si="19"/>
        <v/>
      </c>
      <c r="BT13" s="120" t="str">
        <f t="shared" si="20"/>
        <v/>
      </c>
      <c r="BU13" s="104"/>
    </row>
    <row r="14" spans="1:73" s="80" customFormat="1" ht="15">
      <c r="A14" s="104"/>
      <c r="B14" s="104"/>
      <c r="C14" s="105" t="s">
        <v>142</v>
      </c>
      <c r="D14" s="523"/>
      <c r="E14" s="523"/>
      <c r="F14" s="106">
        <f t="shared" si="21"/>
        <v>0</v>
      </c>
      <c r="G14" s="105" t="s">
        <v>142</v>
      </c>
      <c r="H14" s="523"/>
      <c r="I14" s="523"/>
      <c r="J14" s="106">
        <f t="shared" si="22"/>
        <v>0</v>
      </c>
      <c r="K14" s="121">
        <f t="shared" si="23"/>
        <v>0</v>
      </c>
      <c r="L14" s="105"/>
      <c r="M14" s="122"/>
      <c r="N14" s="526">
        <f t="shared" si="24"/>
        <v>0</v>
      </c>
      <c r="O14" s="526">
        <v>0</v>
      </c>
      <c r="P14" s="123">
        <f t="shared" si="25"/>
        <v>0</v>
      </c>
      <c r="Q14" s="112" t="str">
        <f t="shared" si="26"/>
        <v/>
      </c>
      <c r="R14" s="112" t="str">
        <f t="shared" si="27"/>
        <v/>
      </c>
      <c r="S14" s="113" t="str">
        <f t="shared" si="28"/>
        <v/>
      </c>
      <c r="T14" s="113" t="str">
        <f t="shared" si="29"/>
        <v/>
      </c>
      <c r="U14" s="113" t="str">
        <f t="shared" si="30"/>
        <v/>
      </c>
      <c r="V14" s="113" t="str">
        <f t="shared" si="31"/>
        <v/>
      </c>
      <c r="W14" s="113" t="str">
        <f t="shared" si="0"/>
        <v/>
      </c>
      <c r="X14" s="113" t="str">
        <f t="shared" si="32"/>
        <v/>
      </c>
      <c r="Y14" s="113" t="str">
        <f t="shared" si="1"/>
        <v/>
      </c>
      <c r="Z14" s="113" t="str">
        <f t="shared" si="2"/>
        <v/>
      </c>
      <c r="AA14" s="113" t="str">
        <f t="shared" si="33"/>
        <v/>
      </c>
      <c r="AB14" s="113" t="str">
        <f t="shared" si="3"/>
        <v/>
      </c>
      <c r="AC14" s="114" t="str">
        <f t="shared" si="4"/>
        <v/>
      </c>
      <c r="AD14" s="115"/>
      <c r="AE14" s="116">
        <f t="shared" si="34"/>
        <v>0</v>
      </c>
      <c r="AF14" s="117">
        <f t="shared" si="35"/>
        <v>0</v>
      </c>
      <c r="AG14" s="118">
        <f t="shared" si="36"/>
        <v>0</v>
      </c>
      <c r="AH14" s="119">
        <v>0</v>
      </c>
      <c r="AI14" s="524">
        <v>0</v>
      </c>
      <c r="AJ14" s="524">
        <v>0</v>
      </c>
      <c r="AK14" s="524">
        <v>0</v>
      </c>
      <c r="AL14" s="524">
        <v>0</v>
      </c>
      <c r="AM14" s="524">
        <v>0</v>
      </c>
      <c r="AN14" s="524">
        <v>0</v>
      </c>
      <c r="AO14" s="524">
        <v>0</v>
      </c>
      <c r="AP14" s="524">
        <v>0</v>
      </c>
      <c r="AQ14" s="524">
        <v>0</v>
      </c>
      <c r="AR14" s="524">
        <v>0</v>
      </c>
      <c r="AS14" s="524">
        <v>0</v>
      </c>
      <c r="AT14" s="120">
        <v>0</v>
      </c>
      <c r="AU14" s="119">
        <f t="shared" si="37"/>
        <v>0</v>
      </c>
      <c r="AV14" s="524">
        <f t="shared" si="5"/>
        <v>0</v>
      </c>
      <c r="AW14" s="524">
        <f t="shared" si="6"/>
        <v>0</v>
      </c>
      <c r="AX14" s="524">
        <f t="shared" si="7"/>
        <v>0</v>
      </c>
      <c r="AY14" s="524">
        <f t="shared" si="8"/>
        <v>0</v>
      </c>
      <c r="AZ14" s="524">
        <f t="shared" si="9"/>
        <v>0</v>
      </c>
      <c r="BA14" s="524">
        <f t="shared" si="38"/>
        <v>0</v>
      </c>
      <c r="BB14" s="524">
        <f t="shared" si="39"/>
        <v>0</v>
      </c>
      <c r="BC14" s="524">
        <f t="shared" si="10"/>
        <v>0</v>
      </c>
      <c r="BD14" s="524">
        <f t="shared" si="11"/>
        <v>0</v>
      </c>
      <c r="BE14" s="524">
        <f t="shared" si="12"/>
        <v>0</v>
      </c>
      <c r="BF14" s="524">
        <f t="shared" si="13"/>
        <v>0</v>
      </c>
      <c r="BG14" s="524">
        <f t="shared" si="14"/>
        <v>0</v>
      </c>
      <c r="BH14" s="119" t="str">
        <f t="shared" si="40"/>
        <v/>
      </c>
      <c r="BI14" s="524" t="str">
        <f t="shared" si="41"/>
        <v/>
      </c>
      <c r="BJ14" s="524" t="str">
        <f t="shared" si="42"/>
        <v/>
      </c>
      <c r="BK14" s="524" t="str">
        <f t="shared" si="43"/>
        <v/>
      </c>
      <c r="BL14" s="524" t="str">
        <f t="shared" si="44"/>
        <v/>
      </c>
      <c r="BM14" s="524" t="str">
        <f t="shared" si="45"/>
        <v/>
      </c>
      <c r="BN14" s="524" t="str">
        <f t="shared" si="15"/>
        <v/>
      </c>
      <c r="BO14" s="524" t="str">
        <f t="shared" si="46"/>
        <v/>
      </c>
      <c r="BP14" s="524" t="str">
        <f t="shared" si="16"/>
        <v/>
      </c>
      <c r="BQ14" s="524" t="str">
        <f t="shared" si="17"/>
        <v/>
      </c>
      <c r="BR14" s="524" t="str">
        <f t="shared" si="18"/>
        <v/>
      </c>
      <c r="BS14" s="524" t="str">
        <f t="shared" si="19"/>
        <v/>
      </c>
      <c r="BT14" s="120" t="str">
        <f t="shared" si="20"/>
        <v/>
      </c>
      <c r="BU14" s="104"/>
    </row>
    <row r="15" spans="1:73" s="80" customFormat="1" ht="15">
      <c r="A15" s="104"/>
      <c r="B15" s="104"/>
      <c r="C15" s="124" t="s">
        <v>142</v>
      </c>
      <c r="D15" s="125"/>
      <c r="E15" s="125"/>
      <c r="F15" s="126">
        <f t="shared" si="21"/>
        <v>0</v>
      </c>
      <c r="G15" s="124" t="s">
        <v>142</v>
      </c>
      <c r="H15" s="125"/>
      <c r="I15" s="125"/>
      <c r="J15" s="126">
        <f t="shared" si="22"/>
        <v>0</v>
      </c>
      <c r="K15" s="127">
        <f>CEILING((F15+J15)/2,0.25)</f>
        <v>0</v>
      </c>
      <c r="L15" s="124"/>
      <c r="M15" s="128"/>
      <c r="N15" s="129">
        <f t="shared" si="24"/>
        <v>0</v>
      </c>
      <c r="O15" s="129">
        <v>0</v>
      </c>
      <c r="P15" s="130">
        <f t="shared" si="25"/>
        <v>0</v>
      </c>
      <c r="Q15" s="112" t="str">
        <f t="shared" si="26"/>
        <v/>
      </c>
      <c r="R15" s="112" t="str">
        <f t="shared" si="27"/>
        <v/>
      </c>
      <c r="S15" s="113" t="str">
        <f t="shared" si="28"/>
        <v/>
      </c>
      <c r="T15" s="113" t="str">
        <f t="shared" si="29"/>
        <v/>
      </c>
      <c r="U15" s="113" t="str">
        <f t="shared" si="30"/>
        <v/>
      </c>
      <c r="V15" s="113" t="str">
        <f>IF($M15=$V$7,$L15*$P15,"")</f>
        <v/>
      </c>
      <c r="W15" s="113" t="str">
        <f t="shared" si="0"/>
        <v/>
      </c>
      <c r="X15" s="113" t="str">
        <f t="shared" si="32"/>
        <v/>
      </c>
      <c r="Y15" s="113" t="str">
        <f t="shared" si="1"/>
        <v/>
      </c>
      <c r="Z15" s="113" t="str">
        <f t="shared" si="2"/>
        <v/>
      </c>
      <c r="AA15" s="113" t="str">
        <f t="shared" si="33"/>
        <v/>
      </c>
      <c r="AB15" s="113" t="str">
        <f t="shared" si="3"/>
        <v/>
      </c>
      <c r="AC15" s="114" t="str">
        <f t="shared" si="4"/>
        <v/>
      </c>
      <c r="AD15" s="115"/>
      <c r="AE15" s="116">
        <f t="shared" si="34"/>
        <v>0</v>
      </c>
      <c r="AF15" s="117">
        <f t="shared" si="35"/>
        <v>0</v>
      </c>
      <c r="AG15" s="118">
        <f t="shared" si="36"/>
        <v>0</v>
      </c>
      <c r="AH15" s="131">
        <v>0</v>
      </c>
      <c r="AI15" s="132">
        <v>0</v>
      </c>
      <c r="AJ15" s="132">
        <v>0</v>
      </c>
      <c r="AK15" s="132">
        <v>0</v>
      </c>
      <c r="AL15" s="132">
        <v>0</v>
      </c>
      <c r="AM15" s="132">
        <v>0</v>
      </c>
      <c r="AN15" s="132">
        <v>0</v>
      </c>
      <c r="AO15" s="132">
        <v>0</v>
      </c>
      <c r="AP15" s="132">
        <v>0</v>
      </c>
      <c r="AQ15" s="132">
        <v>0</v>
      </c>
      <c r="AR15" s="132">
        <v>0</v>
      </c>
      <c r="AS15" s="132">
        <v>0</v>
      </c>
      <c r="AT15" s="133">
        <v>0</v>
      </c>
      <c r="AU15" s="131">
        <f t="shared" si="37"/>
        <v>0</v>
      </c>
      <c r="AV15" s="132">
        <f t="shared" si="5"/>
        <v>0</v>
      </c>
      <c r="AW15" s="132">
        <f t="shared" si="6"/>
        <v>0</v>
      </c>
      <c r="AX15" s="132">
        <f t="shared" si="7"/>
        <v>0</v>
      </c>
      <c r="AY15" s="132">
        <f t="shared" si="8"/>
        <v>0</v>
      </c>
      <c r="AZ15" s="132">
        <f t="shared" si="9"/>
        <v>0</v>
      </c>
      <c r="BA15" s="132">
        <f t="shared" si="38"/>
        <v>0</v>
      </c>
      <c r="BB15" s="132">
        <f t="shared" si="39"/>
        <v>0</v>
      </c>
      <c r="BC15" s="132">
        <f t="shared" si="10"/>
        <v>0</v>
      </c>
      <c r="BD15" s="132">
        <f t="shared" si="11"/>
        <v>0</v>
      </c>
      <c r="BE15" s="132">
        <f t="shared" si="12"/>
        <v>0</v>
      </c>
      <c r="BF15" s="132">
        <f t="shared" si="13"/>
        <v>0</v>
      </c>
      <c r="BG15" s="132">
        <f t="shared" si="14"/>
        <v>0</v>
      </c>
      <c r="BH15" s="131" t="str">
        <f>IF($M15=$Q$7,$L15,"")</f>
        <v/>
      </c>
      <c r="BI15" s="132" t="str">
        <f t="shared" si="41"/>
        <v/>
      </c>
      <c r="BJ15" s="132" t="str">
        <f t="shared" si="42"/>
        <v/>
      </c>
      <c r="BK15" s="132" t="str">
        <f t="shared" si="43"/>
        <v/>
      </c>
      <c r="BL15" s="132" t="str">
        <f t="shared" si="44"/>
        <v/>
      </c>
      <c r="BM15" s="132" t="str">
        <f t="shared" si="45"/>
        <v/>
      </c>
      <c r="BN15" s="132" t="str">
        <f t="shared" si="15"/>
        <v/>
      </c>
      <c r="BO15" s="132" t="str">
        <f t="shared" si="46"/>
        <v/>
      </c>
      <c r="BP15" s="132" t="str">
        <f t="shared" si="16"/>
        <v/>
      </c>
      <c r="BQ15" s="132" t="str">
        <f t="shared" si="17"/>
        <v/>
      </c>
      <c r="BR15" s="132" t="str">
        <f t="shared" si="18"/>
        <v/>
      </c>
      <c r="BS15" s="132" t="str">
        <f t="shared" si="19"/>
        <v/>
      </c>
      <c r="BT15" s="133" t="str">
        <f>IF($M15=$AC$7,$L15,"")</f>
        <v/>
      </c>
      <c r="BU15" s="104"/>
    </row>
    <row r="16" spans="1:73" s="80" customFormat="1" ht="20" customHeight="1">
      <c r="A16" s="104"/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104">
        <f>SUMPRODUCT(L8:L15,O8:O15)</f>
        <v>115540</v>
      </c>
      <c r="P16" s="134" t="s">
        <v>64</v>
      </c>
      <c r="Q16" s="135">
        <f t="shared" ref="Q16:AC16" si="47">SUM(Q8:Q15)</f>
        <v>0</v>
      </c>
      <c r="R16" s="135">
        <f t="shared" si="47"/>
        <v>0</v>
      </c>
      <c r="S16" s="136">
        <f t="shared" si="47"/>
        <v>8319</v>
      </c>
      <c r="T16" s="136">
        <f t="shared" si="47"/>
        <v>3162</v>
      </c>
      <c r="U16" s="136">
        <f t="shared" si="47"/>
        <v>27432</v>
      </c>
      <c r="V16" s="136">
        <f t="shared" si="47"/>
        <v>9072</v>
      </c>
      <c r="W16" s="136">
        <f t="shared" si="47"/>
        <v>0</v>
      </c>
      <c r="X16" s="136">
        <f t="shared" si="47"/>
        <v>0</v>
      </c>
      <c r="Y16" s="136">
        <f t="shared" si="47"/>
        <v>0</v>
      </c>
      <c r="Z16" s="136">
        <f t="shared" si="47"/>
        <v>76752</v>
      </c>
      <c r="AA16" s="136">
        <f t="shared" si="47"/>
        <v>0</v>
      </c>
      <c r="AB16" s="136">
        <f t="shared" si="47"/>
        <v>0</v>
      </c>
      <c r="AC16" s="137">
        <f t="shared" si="47"/>
        <v>0</v>
      </c>
      <c r="AD16" s="138">
        <f>ROUND(SUM(Q16:AC16)*112%,-2)</f>
        <v>139700</v>
      </c>
      <c r="AE16" s="139">
        <f>ROUND(SUM(AE8:AE15),0)</f>
        <v>313</v>
      </c>
      <c r="AF16" s="140">
        <f>ROUND(SUM(AF8:AF15),0)</f>
        <v>2199</v>
      </c>
      <c r="AG16" s="140">
        <f>ROUND(SUM(AG8:AG15),0)</f>
        <v>1109</v>
      </c>
      <c r="AH16" s="141"/>
      <c r="AI16" s="141"/>
      <c r="AJ16" s="141"/>
      <c r="AK16" s="141"/>
      <c r="AL16" s="141"/>
      <c r="AM16" s="141"/>
      <c r="AN16" s="141"/>
      <c r="AO16" s="141"/>
      <c r="AP16" s="141"/>
      <c r="AQ16" s="141"/>
      <c r="AR16" s="141"/>
      <c r="AS16" s="141"/>
      <c r="AT16" s="141"/>
      <c r="AU16" s="104"/>
      <c r="AV16" s="104"/>
      <c r="AW16" s="104"/>
      <c r="AX16" s="104"/>
      <c r="AY16" s="104"/>
      <c r="AZ16" s="104"/>
      <c r="BA16" s="104"/>
      <c r="BB16" s="104"/>
      <c r="BC16" s="104"/>
      <c r="BD16" s="134"/>
      <c r="BE16" s="104"/>
      <c r="BF16" s="134"/>
      <c r="BG16" s="104"/>
      <c r="BH16" s="239">
        <f t="shared" ref="BH16:BT16" si="48">SUM(BH8:BH15)</f>
        <v>0</v>
      </c>
      <c r="BI16" s="142">
        <f t="shared" si="48"/>
        <v>0</v>
      </c>
      <c r="BJ16" s="142">
        <f t="shared" si="48"/>
        <v>177</v>
      </c>
      <c r="BK16" s="142">
        <f t="shared" si="48"/>
        <v>62</v>
      </c>
      <c r="BL16" s="142">
        <f t="shared" si="48"/>
        <v>381</v>
      </c>
      <c r="BM16" s="142">
        <f t="shared" si="48"/>
        <v>112</v>
      </c>
      <c r="BN16" s="142">
        <f t="shared" si="48"/>
        <v>0</v>
      </c>
      <c r="BO16" s="142">
        <f t="shared" si="48"/>
        <v>0</v>
      </c>
      <c r="BP16" s="142">
        <f t="shared" si="48"/>
        <v>0</v>
      </c>
      <c r="BQ16" s="142">
        <f t="shared" si="48"/>
        <v>328</v>
      </c>
      <c r="BR16" s="142">
        <f t="shared" si="48"/>
        <v>0</v>
      </c>
      <c r="BS16" s="142">
        <f t="shared" si="48"/>
        <v>0</v>
      </c>
      <c r="BT16" s="240">
        <f t="shared" si="48"/>
        <v>0</v>
      </c>
      <c r="BU16" s="104"/>
    </row>
    <row r="17" spans="1:73" s="80" customFormat="1" ht="20" customHeight="1">
      <c r="A17" s="104"/>
      <c r="B17" s="104"/>
      <c r="C17" s="104"/>
      <c r="D17" s="104"/>
      <c r="E17" s="104"/>
      <c r="F17" s="104"/>
      <c r="G17" s="104"/>
      <c r="H17" s="104"/>
      <c r="I17" s="104"/>
      <c r="J17" s="104"/>
      <c r="K17" s="143" t="s">
        <v>65</v>
      </c>
      <c r="L17" s="134">
        <f>SUM(L8:L15)</f>
        <v>1060</v>
      </c>
      <c r="M17" s="104"/>
      <c r="N17" s="104"/>
      <c r="O17" s="104"/>
      <c r="P17" s="143" t="s">
        <v>66</v>
      </c>
      <c r="Q17" s="144">
        <f t="shared" ref="Q17:AC17" si="49">BH16</f>
        <v>0</v>
      </c>
      <c r="R17" s="144">
        <f t="shared" si="49"/>
        <v>0</v>
      </c>
      <c r="S17" s="145">
        <f t="shared" si="49"/>
        <v>177</v>
      </c>
      <c r="T17" s="145">
        <f t="shared" si="49"/>
        <v>62</v>
      </c>
      <c r="U17" s="145">
        <f t="shared" si="49"/>
        <v>381</v>
      </c>
      <c r="V17" s="145">
        <f t="shared" si="49"/>
        <v>112</v>
      </c>
      <c r="W17" s="145">
        <f t="shared" si="49"/>
        <v>0</v>
      </c>
      <c r="X17" s="145">
        <f t="shared" si="49"/>
        <v>0</v>
      </c>
      <c r="Y17" s="145">
        <f t="shared" si="49"/>
        <v>0</v>
      </c>
      <c r="Z17" s="145">
        <f t="shared" si="49"/>
        <v>328</v>
      </c>
      <c r="AA17" s="145">
        <f t="shared" si="49"/>
        <v>0</v>
      </c>
      <c r="AB17" s="145">
        <f t="shared" si="49"/>
        <v>0</v>
      </c>
      <c r="AC17" s="146">
        <f t="shared" si="49"/>
        <v>0</v>
      </c>
      <c r="AD17" s="146">
        <f>SUM(Q17:AC17)</f>
        <v>1060</v>
      </c>
      <c r="AE17" s="104"/>
      <c r="AF17" s="104"/>
      <c r="AG17" s="104"/>
      <c r="AH17" s="104"/>
      <c r="AI17" s="104"/>
      <c r="AJ17" s="104"/>
      <c r="AK17" s="104"/>
      <c r="AL17" s="104"/>
      <c r="AM17" s="104"/>
      <c r="AN17" s="104"/>
      <c r="AO17" s="104"/>
      <c r="AP17" s="104"/>
      <c r="AQ17" s="104"/>
      <c r="AR17" s="104"/>
      <c r="AS17" s="104"/>
      <c r="AT17" s="104"/>
      <c r="AU17" s="104"/>
      <c r="AV17" s="104"/>
      <c r="AW17" s="104"/>
      <c r="AX17" s="104"/>
      <c r="AY17" s="104"/>
      <c r="AZ17" s="104"/>
      <c r="BA17" s="104"/>
      <c r="BB17" s="104"/>
      <c r="BC17" s="104"/>
      <c r="BD17" s="104"/>
      <c r="BE17" s="104"/>
      <c r="BF17" s="104"/>
      <c r="BG17" s="104"/>
      <c r="BH17" s="104"/>
      <c r="BI17" s="104"/>
      <c r="BJ17" s="104"/>
      <c r="BK17" s="104"/>
      <c r="BL17" s="104"/>
      <c r="BM17" s="104"/>
      <c r="BN17" s="104"/>
      <c r="BO17" s="104"/>
      <c r="BP17" s="104"/>
      <c r="BQ17" s="104"/>
      <c r="BR17" s="104"/>
      <c r="BS17" s="104"/>
      <c r="BT17" s="104"/>
      <c r="BU17" s="104"/>
    </row>
    <row r="18" spans="1:73" s="80" customFormat="1" ht="20" customHeight="1">
      <c r="A18" s="90" t="s">
        <v>43</v>
      </c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43" t="s">
        <v>67</v>
      </c>
      <c r="Q18" s="135">
        <f>IF(Q16&gt;0,Q16/Q17,0)</f>
        <v>0</v>
      </c>
      <c r="R18" s="135">
        <f t="shared" ref="R18:AC18" si="50">IF(R16&gt;0,R16/R17,0)</f>
        <v>0</v>
      </c>
      <c r="S18" s="136">
        <f t="shared" si="50"/>
        <v>47</v>
      </c>
      <c r="T18" s="136">
        <f t="shared" si="50"/>
        <v>51</v>
      </c>
      <c r="U18" s="136">
        <f t="shared" si="50"/>
        <v>72</v>
      </c>
      <c r="V18" s="136">
        <f t="shared" si="50"/>
        <v>81</v>
      </c>
      <c r="W18" s="136">
        <f t="shared" si="50"/>
        <v>0</v>
      </c>
      <c r="X18" s="136">
        <f t="shared" si="50"/>
        <v>0</v>
      </c>
      <c r="Y18" s="136">
        <f t="shared" si="50"/>
        <v>0</v>
      </c>
      <c r="Z18" s="136">
        <f t="shared" si="50"/>
        <v>234</v>
      </c>
      <c r="AA18" s="136">
        <f t="shared" si="50"/>
        <v>0</v>
      </c>
      <c r="AB18" s="136">
        <f t="shared" si="50"/>
        <v>0</v>
      </c>
      <c r="AC18" s="137">
        <f t="shared" si="50"/>
        <v>0</v>
      </c>
      <c r="AD18" s="137">
        <f>IF(AD16&gt;0,AD16/AD17,0)</f>
        <v>131.79245283018867</v>
      </c>
      <c r="AE18" s="147" t="str">
        <f>IF(AD17=L17,"","CHECK LENGTH")</f>
        <v/>
      </c>
      <c r="AF18" s="104"/>
      <c r="AG18" s="104"/>
      <c r="AH18" s="104"/>
      <c r="AI18" s="104"/>
      <c r="AJ18" s="104"/>
      <c r="AK18" s="104"/>
      <c r="AL18" s="104"/>
      <c r="AM18" s="104"/>
      <c r="AN18" s="104"/>
      <c r="AO18" s="104"/>
      <c r="AP18" s="104"/>
      <c r="AQ18" s="104"/>
      <c r="AR18" s="104"/>
      <c r="AS18" s="104"/>
      <c r="AT18" s="104"/>
      <c r="AU18" s="104"/>
      <c r="AV18" s="104"/>
      <c r="AW18" s="104"/>
      <c r="AX18" s="104"/>
      <c r="AY18" s="104"/>
      <c r="AZ18" s="104"/>
      <c r="BA18" s="104"/>
      <c r="BB18" s="104"/>
      <c r="BC18" s="104"/>
      <c r="BD18" s="104"/>
      <c r="BE18" s="104"/>
      <c r="BF18" s="104"/>
      <c r="BG18" s="104"/>
      <c r="BH18" s="104"/>
      <c r="BI18" s="104"/>
      <c r="BJ18" s="104"/>
      <c r="BK18" s="104"/>
      <c r="BL18" s="104"/>
      <c r="BM18" s="104"/>
      <c r="BN18" s="104"/>
      <c r="BO18" s="104"/>
      <c r="BP18" s="104"/>
      <c r="BQ18" s="104"/>
      <c r="BR18" s="104"/>
      <c r="BS18" s="104"/>
      <c r="BT18" s="104"/>
      <c r="BU18" s="104"/>
    </row>
    <row r="19" spans="1:73" customFormat="1" ht="16" thickBot="1">
      <c r="A19" s="102" t="s">
        <v>40</v>
      </c>
      <c r="B19" s="93"/>
      <c r="C19" s="93"/>
      <c r="D19" s="93"/>
      <c r="E19" s="93"/>
      <c r="F19" s="93"/>
      <c r="G19" s="93"/>
      <c r="H19" s="93"/>
      <c r="I19" s="93"/>
      <c r="J19" s="93"/>
      <c r="K19" s="93"/>
      <c r="L19" s="89"/>
      <c r="M19" s="93"/>
      <c r="N19" s="89"/>
      <c r="O19" s="89"/>
      <c r="P19" s="89"/>
      <c r="Q19" s="148">
        <v>150</v>
      </c>
      <c r="R19" s="148">
        <v>225</v>
      </c>
      <c r="S19" s="103">
        <v>300</v>
      </c>
      <c r="T19" s="103">
        <v>375</v>
      </c>
      <c r="U19" s="103">
        <v>450</v>
      </c>
      <c r="V19" s="103">
        <v>525</v>
      </c>
      <c r="W19" s="103">
        <v>600</v>
      </c>
      <c r="X19" s="103">
        <v>675</v>
      </c>
      <c r="Y19" s="103">
        <v>750</v>
      </c>
      <c r="Z19" s="103">
        <v>900</v>
      </c>
      <c r="AA19" s="103">
        <v>1050</v>
      </c>
      <c r="AB19" s="103">
        <v>1200</v>
      </c>
      <c r="AC19" s="149">
        <v>1350</v>
      </c>
      <c r="AD19" s="149" t="b">
        <f>AD17=L17</f>
        <v>1</v>
      </c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7"/>
      <c r="BU19" s="87"/>
    </row>
    <row r="20" spans="1:73" customFormat="1" ht="15">
      <c r="A20" s="94" t="s">
        <v>68</v>
      </c>
      <c r="B20" s="95" t="s">
        <v>69</v>
      </c>
      <c r="C20" s="95" t="s">
        <v>0</v>
      </c>
      <c r="D20" s="95" t="s">
        <v>56</v>
      </c>
      <c r="E20" s="95" t="s">
        <v>57</v>
      </c>
      <c r="F20" s="95" t="s">
        <v>37</v>
      </c>
      <c r="G20" s="95" t="s">
        <v>70</v>
      </c>
      <c r="H20" s="95" t="s">
        <v>71</v>
      </c>
      <c r="I20" s="95" t="s">
        <v>72</v>
      </c>
      <c r="J20" s="95"/>
      <c r="K20" s="97" t="s">
        <v>73</v>
      </c>
      <c r="L20" s="94" t="s">
        <v>50</v>
      </c>
      <c r="M20" s="95" t="s">
        <v>51</v>
      </c>
      <c r="N20" s="96" t="s">
        <v>74</v>
      </c>
      <c r="O20" s="150"/>
      <c r="P20" s="151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1201" t="s">
        <v>75</v>
      </c>
      <c r="AH20" s="1202"/>
      <c r="AI20" s="1202"/>
      <c r="AJ20" s="1202"/>
      <c r="AK20" s="1202"/>
      <c r="AL20" s="1202"/>
      <c r="AM20" s="1202"/>
      <c r="AN20" s="1202"/>
      <c r="AO20" s="1202"/>
      <c r="AP20" s="1203"/>
      <c r="AQ20" s="1201" t="s">
        <v>75</v>
      </c>
      <c r="AR20" s="1202"/>
      <c r="AS20" s="1202"/>
      <c r="AT20" s="1202"/>
      <c r="AU20" s="1202"/>
      <c r="AV20" s="1202"/>
      <c r="AW20" s="1202"/>
      <c r="AX20" s="1202"/>
      <c r="AY20" s="1202"/>
      <c r="AZ20" s="1203"/>
      <c r="BA20" s="87"/>
      <c r="BB20" s="87"/>
      <c r="BC20" s="87"/>
      <c r="BD20" s="87"/>
      <c r="BE20" s="87"/>
      <c r="BF20" s="87"/>
      <c r="BG20" s="87"/>
      <c r="BH20" s="87"/>
      <c r="BI20" s="87"/>
      <c r="BJ20" s="87"/>
      <c r="BK20" s="87"/>
      <c r="BL20" s="87"/>
      <c r="BM20" s="87"/>
      <c r="BN20" s="87"/>
      <c r="BO20" s="87"/>
      <c r="BP20" s="87"/>
      <c r="BQ20" s="87"/>
      <c r="BR20" s="87"/>
      <c r="BS20" s="87"/>
      <c r="BT20" s="87"/>
      <c r="BU20" s="87"/>
    </row>
    <row r="21" spans="1:73" customFormat="1" ht="32.25" customHeight="1" thickBot="1">
      <c r="A21" s="98" t="s">
        <v>76</v>
      </c>
      <c r="B21" s="99" t="s">
        <v>76</v>
      </c>
      <c r="C21" s="99"/>
      <c r="D21" s="99"/>
      <c r="E21" s="99"/>
      <c r="F21" s="99"/>
      <c r="G21" s="99"/>
      <c r="H21" s="99"/>
      <c r="I21" s="99" t="s">
        <v>77</v>
      </c>
      <c r="J21" s="99"/>
      <c r="K21" s="101"/>
      <c r="L21" s="98" t="s">
        <v>62</v>
      </c>
      <c r="M21" s="99" t="s">
        <v>78</v>
      </c>
      <c r="N21" s="100" t="s">
        <v>78</v>
      </c>
      <c r="O21" s="152"/>
      <c r="P21" s="101" t="s">
        <v>79</v>
      </c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153">
        <v>900</v>
      </c>
      <c r="AH21" s="154">
        <v>1050</v>
      </c>
      <c r="AI21" s="154">
        <v>1200</v>
      </c>
      <c r="AJ21" s="154">
        <v>1350</v>
      </c>
      <c r="AK21" s="154">
        <v>1500</v>
      </c>
      <c r="AL21" s="154">
        <v>1800</v>
      </c>
      <c r="AM21" s="154">
        <v>2100</v>
      </c>
      <c r="AN21" s="154">
        <v>2400</v>
      </c>
      <c r="AO21" s="154">
        <v>2700</v>
      </c>
      <c r="AP21" s="155">
        <v>3000</v>
      </c>
      <c r="AQ21" s="153">
        <v>900</v>
      </c>
      <c r="AR21" s="154">
        <v>1050</v>
      </c>
      <c r="AS21" s="154">
        <v>1200</v>
      </c>
      <c r="AT21" s="154">
        <v>1350</v>
      </c>
      <c r="AU21" s="154">
        <v>1500</v>
      </c>
      <c r="AV21" s="154">
        <v>1800</v>
      </c>
      <c r="AW21" s="154">
        <v>2100</v>
      </c>
      <c r="AX21" s="154">
        <v>2400</v>
      </c>
      <c r="AY21" s="154">
        <v>2700</v>
      </c>
      <c r="AZ21" s="155">
        <v>3000</v>
      </c>
      <c r="BA21" s="87"/>
      <c r="BB21" s="87"/>
      <c r="BC21" s="87"/>
      <c r="BD21" s="87"/>
      <c r="BE21" s="87"/>
      <c r="BF21" s="87"/>
      <c r="BG21" s="87"/>
      <c r="BH21" s="87"/>
      <c r="BI21" s="87"/>
      <c r="BJ21" s="87"/>
      <c r="BK21" s="87"/>
      <c r="BL21" s="87"/>
      <c r="BM21" s="87"/>
      <c r="BN21" s="87"/>
      <c r="BO21" s="87"/>
      <c r="BP21" s="87"/>
      <c r="BQ21" s="87"/>
      <c r="BR21" s="87"/>
      <c r="BS21" s="87"/>
      <c r="BT21" s="87"/>
      <c r="BU21" s="87"/>
    </row>
    <row r="22" spans="1:73" customFormat="1" ht="15">
      <c r="A22" s="527"/>
      <c r="B22" s="528"/>
      <c r="C22" s="156"/>
      <c r="D22" s="157"/>
      <c r="E22" s="157"/>
      <c r="F22" s="158">
        <f>CEILING(D22-E22,0.25)</f>
        <v>0</v>
      </c>
      <c r="G22" s="156"/>
      <c r="H22" s="159">
        <f>IF((SUM(AQ22:AZ22))&gt;I22,SUM(AQ22:AZ22),I22)</f>
        <v>0</v>
      </c>
      <c r="I22" s="159">
        <v>0</v>
      </c>
      <c r="J22" s="160"/>
      <c r="K22" s="161"/>
      <c r="L22" s="162">
        <f t="shared" ref="L22:L66" si="51">(G22/1000/2*G22/1000/2*3.14)*F22</f>
        <v>0</v>
      </c>
      <c r="M22" s="158">
        <f t="shared" ref="M22:M35" si="52">22/7*(G22/2/1000)*(G22/2/1000)*F22</f>
        <v>0</v>
      </c>
      <c r="N22" s="163">
        <f>IF(G22&gt;0,(22/7*(1200/2/1000)*(1200/2/1000)*2),0)</f>
        <v>0</v>
      </c>
      <c r="O22" s="164"/>
      <c r="P22" s="165">
        <f t="shared" ref="P22:P67" si="53">IF($A22&gt;0,(VLOOKUP($G22,$Q$82:$S$87,3)),0)</f>
        <v>0</v>
      </c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166">
        <v>0</v>
      </c>
      <c r="AH22" s="529">
        <v>0</v>
      </c>
      <c r="AI22" s="529">
        <v>0</v>
      </c>
      <c r="AJ22" s="529">
        <v>0</v>
      </c>
      <c r="AK22" s="529">
        <v>0</v>
      </c>
      <c r="AL22" s="529">
        <v>0</v>
      </c>
      <c r="AM22" s="529">
        <v>0</v>
      </c>
      <c r="AN22" s="529">
        <v>0</v>
      </c>
      <c r="AO22" s="529">
        <v>0</v>
      </c>
      <c r="AP22" s="167">
        <v>0</v>
      </c>
      <c r="AQ22" s="166">
        <f t="shared" ref="AQ22:AQ35" si="54">IF($G22=$AG$21,AG22,0)</f>
        <v>0</v>
      </c>
      <c r="AR22" s="529">
        <f t="shared" ref="AR22:AR35" si="55">IF($G22=$AH$21,AH22,0)</f>
        <v>0</v>
      </c>
      <c r="AS22" s="529">
        <f t="shared" ref="AS22:AS35" si="56">IF($G22=$AI$21,AI22,0)</f>
        <v>0</v>
      </c>
      <c r="AT22" s="529">
        <f t="shared" ref="AT22:AT35" si="57">IF($G22=$AJ$21,AJ22,0)</f>
        <v>0</v>
      </c>
      <c r="AU22" s="529">
        <f t="shared" ref="AU22:AU35" si="58">IF($G22=$AK$21,AK22,0)</f>
        <v>0</v>
      </c>
      <c r="AV22" s="529">
        <f t="shared" ref="AV22:AV35" si="59">IF($G22=$AL$21,AL22,0)</f>
        <v>0</v>
      </c>
      <c r="AW22" s="529">
        <f t="shared" ref="AW22:AW35" si="60">IF($G22=$AM$21,AM22,0)</f>
        <v>0</v>
      </c>
      <c r="AX22" s="529">
        <f t="shared" ref="AX22:AX35" si="61">IF($G22=$AN$21,AN22,0)</f>
        <v>0</v>
      </c>
      <c r="AY22" s="529">
        <f t="shared" ref="AY22:AY35" si="62">IF($G22=$AO$21,AO22,0)</f>
        <v>0</v>
      </c>
      <c r="AZ22" s="167">
        <f t="shared" ref="AZ22:AZ35" si="63">IF($G22=$AP$21,AP22,0)</f>
        <v>0</v>
      </c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87"/>
      <c r="BO22" s="87"/>
      <c r="BP22" s="87"/>
      <c r="BQ22" s="87"/>
      <c r="BR22" s="87"/>
      <c r="BS22" s="87"/>
      <c r="BT22" s="87"/>
      <c r="BU22" s="87"/>
    </row>
    <row r="23" spans="1:73" customFormat="1" ht="15">
      <c r="A23" s="105"/>
      <c r="B23" s="530"/>
      <c r="C23" s="531" t="s">
        <v>80</v>
      </c>
      <c r="D23" s="525">
        <v>18.652999999999999</v>
      </c>
      <c r="E23" s="525">
        <v>16.61</v>
      </c>
      <c r="F23" s="532">
        <f t="shared" ref="F23:F66" si="64">CEILING(D23-E23,0.25)</f>
        <v>2.25</v>
      </c>
      <c r="G23" s="530">
        <v>1200</v>
      </c>
      <c r="H23" s="533">
        <v>1625</v>
      </c>
      <c r="I23" s="533">
        <v>1625</v>
      </c>
      <c r="J23" s="168"/>
      <c r="K23" s="169">
        <v>300</v>
      </c>
      <c r="L23" s="170">
        <f t="shared" si="51"/>
        <v>2.5434000000000001</v>
      </c>
      <c r="M23" s="532">
        <f t="shared" si="52"/>
        <v>2.5457142857142858</v>
      </c>
      <c r="N23" s="171">
        <f t="shared" ref="N23:N66" si="65">IF(G23&gt;0,(22/7*(1200/2/1000)*(1200/2/1000)*2),0)</f>
        <v>2.2628571428571429</v>
      </c>
      <c r="O23" s="141"/>
      <c r="P23" s="172">
        <f t="shared" si="53"/>
        <v>0</v>
      </c>
      <c r="Q23" s="87"/>
      <c r="R23" s="87"/>
      <c r="S23" s="87"/>
      <c r="T23" s="87"/>
      <c r="U23" s="87"/>
      <c r="V23" s="87"/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166">
        <v>0</v>
      </c>
      <c r="AH23" s="529">
        <v>0</v>
      </c>
      <c r="AI23" s="529">
        <v>1710</v>
      </c>
      <c r="AJ23" s="529">
        <v>2065</v>
      </c>
      <c r="AK23" s="529">
        <v>2565</v>
      </c>
      <c r="AL23" s="529">
        <v>2828</v>
      </c>
      <c r="AM23" s="529">
        <v>3600</v>
      </c>
      <c r="AN23" s="529">
        <v>4660</v>
      </c>
      <c r="AO23" s="529">
        <v>5415</v>
      </c>
      <c r="AP23" s="167">
        <v>5680</v>
      </c>
      <c r="AQ23" s="166">
        <f t="shared" si="54"/>
        <v>0</v>
      </c>
      <c r="AR23" s="529">
        <f t="shared" si="55"/>
        <v>0</v>
      </c>
      <c r="AS23" s="529">
        <f t="shared" si="56"/>
        <v>1710</v>
      </c>
      <c r="AT23" s="529">
        <f t="shared" si="57"/>
        <v>0</v>
      </c>
      <c r="AU23" s="529">
        <f t="shared" si="58"/>
        <v>0</v>
      </c>
      <c r="AV23" s="529">
        <f t="shared" si="59"/>
        <v>0</v>
      </c>
      <c r="AW23" s="529">
        <f t="shared" si="60"/>
        <v>0</v>
      </c>
      <c r="AX23" s="529">
        <f t="shared" si="61"/>
        <v>0</v>
      </c>
      <c r="AY23" s="529">
        <f t="shared" si="62"/>
        <v>0</v>
      </c>
      <c r="AZ23" s="167">
        <f t="shared" si="63"/>
        <v>0</v>
      </c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87"/>
      <c r="BO23" s="87"/>
      <c r="BP23" s="87"/>
      <c r="BQ23" s="87"/>
      <c r="BR23" s="87"/>
      <c r="BS23" s="87"/>
      <c r="BT23" s="87"/>
      <c r="BU23" s="87"/>
    </row>
    <row r="24" spans="1:73" customFormat="1" ht="15">
      <c r="A24" s="105"/>
      <c r="B24" s="530"/>
      <c r="C24" s="531" t="s">
        <v>81</v>
      </c>
      <c r="D24" s="525">
        <v>18.652999999999999</v>
      </c>
      <c r="E24" s="525">
        <v>16.61</v>
      </c>
      <c r="F24" s="532">
        <f t="shared" si="64"/>
        <v>2.25</v>
      </c>
      <c r="G24" s="530">
        <v>1200</v>
      </c>
      <c r="H24" s="533">
        <v>1625</v>
      </c>
      <c r="I24" s="533">
        <v>1625</v>
      </c>
      <c r="J24" s="168"/>
      <c r="K24" s="169">
        <v>300</v>
      </c>
      <c r="L24" s="170">
        <f t="shared" si="51"/>
        <v>2.5434000000000001</v>
      </c>
      <c r="M24" s="532">
        <f t="shared" si="52"/>
        <v>2.5457142857142858</v>
      </c>
      <c r="N24" s="171">
        <f t="shared" si="65"/>
        <v>2.2628571428571429</v>
      </c>
      <c r="O24" s="141"/>
      <c r="P24" s="172">
        <f t="shared" si="53"/>
        <v>0</v>
      </c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166">
        <v>0</v>
      </c>
      <c r="AH24" s="529">
        <v>0</v>
      </c>
      <c r="AI24" s="529">
        <v>1710</v>
      </c>
      <c r="AJ24" s="529">
        <v>2065</v>
      </c>
      <c r="AK24" s="529">
        <v>2565</v>
      </c>
      <c r="AL24" s="529">
        <v>2828</v>
      </c>
      <c r="AM24" s="529">
        <v>3600</v>
      </c>
      <c r="AN24" s="529">
        <v>4660</v>
      </c>
      <c r="AO24" s="529">
        <v>5415</v>
      </c>
      <c r="AP24" s="167">
        <v>5680</v>
      </c>
      <c r="AQ24" s="166">
        <f t="shared" si="54"/>
        <v>0</v>
      </c>
      <c r="AR24" s="529">
        <f t="shared" si="55"/>
        <v>0</v>
      </c>
      <c r="AS24" s="529">
        <f t="shared" si="56"/>
        <v>1710</v>
      </c>
      <c r="AT24" s="529">
        <f t="shared" si="57"/>
        <v>0</v>
      </c>
      <c r="AU24" s="529">
        <f t="shared" si="58"/>
        <v>0</v>
      </c>
      <c r="AV24" s="529">
        <f t="shared" si="59"/>
        <v>0</v>
      </c>
      <c r="AW24" s="529">
        <f t="shared" si="60"/>
        <v>0</v>
      </c>
      <c r="AX24" s="529">
        <f t="shared" si="61"/>
        <v>0</v>
      </c>
      <c r="AY24" s="529">
        <f t="shared" si="62"/>
        <v>0</v>
      </c>
      <c r="AZ24" s="167">
        <f t="shared" si="63"/>
        <v>0</v>
      </c>
      <c r="BA24" s="87"/>
      <c r="BB24" s="87"/>
      <c r="BC24" s="87"/>
      <c r="BD24" s="87"/>
      <c r="BE24" s="87"/>
      <c r="BF24" s="87"/>
      <c r="BG24" s="87"/>
      <c r="BH24" s="87"/>
      <c r="BI24" s="87"/>
      <c r="BJ24" s="87"/>
      <c r="BK24" s="87"/>
      <c r="BL24" s="87"/>
      <c r="BM24" s="87"/>
      <c r="BN24" s="87"/>
      <c r="BO24" s="87"/>
      <c r="BP24" s="87"/>
      <c r="BQ24" s="87"/>
      <c r="BR24" s="87"/>
      <c r="BS24" s="87"/>
      <c r="BT24" s="87"/>
      <c r="BU24" s="87"/>
    </row>
    <row r="25" spans="1:73" customFormat="1" ht="15">
      <c r="A25" s="105"/>
      <c r="B25" s="530"/>
      <c r="C25" s="531" t="s">
        <v>82</v>
      </c>
      <c r="D25" s="525">
        <v>18.652999999999999</v>
      </c>
      <c r="E25" s="525">
        <v>16.61</v>
      </c>
      <c r="F25" s="532">
        <f t="shared" si="64"/>
        <v>2.25</v>
      </c>
      <c r="G25" s="530">
        <v>1200</v>
      </c>
      <c r="H25" s="533">
        <v>1625</v>
      </c>
      <c r="I25" s="533">
        <v>1625</v>
      </c>
      <c r="J25" s="168"/>
      <c r="K25" s="169">
        <v>300</v>
      </c>
      <c r="L25" s="170">
        <f t="shared" si="51"/>
        <v>2.5434000000000001</v>
      </c>
      <c r="M25" s="532">
        <f t="shared" si="52"/>
        <v>2.5457142857142858</v>
      </c>
      <c r="N25" s="171">
        <f t="shared" si="65"/>
        <v>2.2628571428571429</v>
      </c>
      <c r="O25" s="141"/>
      <c r="P25" s="172">
        <f t="shared" si="53"/>
        <v>0</v>
      </c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166">
        <v>0</v>
      </c>
      <c r="AH25" s="529">
        <v>0</v>
      </c>
      <c r="AI25" s="529">
        <v>1710</v>
      </c>
      <c r="AJ25" s="529">
        <v>2065</v>
      </c>
      <c r="AK25" s="529">
        <v>2565</v>
      </c>
      <c r="AL25" s="529">
        <v>2828</v>
      </c>
      <c r="AM25" s="529">
        <v>3600</v>
      </c>
      <c r="AN25" s="529">
        <v>4660</v>
      </c>
      <c r="AO25" s="529">
        <v>5415</v>
      </c>
      <c r="AP25" s="167">
        <v>5680</v>
      </c>
      <c r="AQ25" s="166">
        <f t="shared" si="54"/>
        <v>0</v>
      </c>
      <c r="AR25" s="529">
        <f t="shared" si="55"/>
        <v>0</v>
      </c>
      <c r="AS25" s="529">
        <f t="shared" si="56"/>
        <v>1710</v>
      </c>
      <c r="AT25" s="529">
        <f t="shared" si="57"/>
        <v>0</v>
      </c>
      <c r="AU25" s="529">
        <f t="shared" si="58"/>
        <v>0</v>
      </c>
      <c r="AV25" s="529">
        <f t="shared" si="59"/>
        <v>0</v>
      </c>
      <c r="AW25" s="529">
        <f t="shared" si="60"/>
        <v>0</v>
      </c>
      <c r="AX25" s="529">
        <f t="shared" si="61"/>
        <v>0</v>
      </c>
      <c r="AY25" s="529">
        <f t="shared" si="62"/>
        <v>0</v>
      </c>
      <c r="AZ25" s="167">
        <f t="shared" si="63"/>
        <v>0</v>
      </c>
      <c r="BA25" s="87"/>
      <c r="BB25" s="87"/>
      <c r="BC25" s="87"/>
      <c r="BD25" s="87"/>
      <c r="BE25" s="87"/>
      <c r="BF25" s="87"/>
      <c r="BG25" s="87"/>
      <c r="BH25" s="87"/>
      <c r="BI25" s="87"/>
      <c r="BJ25" s="87"/>
      <c r="BK25" s="87"/>
      <c r="BL25" s="87"/>
      <c r="BM25" s="87"/>
      <c r="BN25" s="87"/>
      <c r="BO25" s="87"/>
      <c r="BP25" s="87"/>
      <c r="BQ25" s="87"/>
      <c r="BR25" s="87"/>
      <c r="BS25" s="87"/>
      <c r="BT25" s="87"/>
      <c r="BU25" s="87"/>
    </row>
    <row r="26" spans="1:73" customFormat="1" ht="15">
      <c r="A26" s="105"/>
      <c r="B26" s="530"/>
      <c r="C26" s="531" t="s">
        <v>83</v>
      </c>
      <c r="D26" s="525">
        <v>18.652999999999999</v>
      </c>
      <c r="E26" s="525">
        <v>16.61</v>
      </c>
      <c r="F26" s="532">
        <f t="shared" si="64"/>
        <v>2.25</v>
      </c>
      <c r="G26" s="530">
        <v>1200</v>
      </c>
      <c r="H26" s="533">
        <v>1625</v>
      </c>
      <c r="I26" s="533">
        <v>1625</v>
      </c>
      <c r="J26" s="168"/>
      <c r="K26" s="169">
        <v>300</v>
      </c>
      <c r="L26" s="170">
        <f t="shared" si="51"/>
        <v>2.5434000000000001</v>
      </c>
      <c r="M26" s="532">
        <f t="shared" si="52"/>
        <v>2.5457142857142858</v>
      </c>
      <c r="N26" s="171">
        <f t="shared" si="65"/>
        <v>2.2628571428571429</v>
      </c>
      <c r="O26" s="141"/>
      <c r="P26" s="172">
        <f t="shared" si="53"/>
        <v>0</v>
      </c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166">
        <v>0</v>
      </c>
      <c r="AH26" s="529">
        <v>0</v>
      </c>
      <c r="AI26" s="529">
        <v>1710</v>
      </c>
      <c r="AJ26" s="529">
        <v>2065</v>
      </c>
      <c r="AK26" s="529">
        <v>2565</v>
      </c>
      <c r="AL26" s="529">
        <v>2828</v>
      </c>
      <c r="AM26" s="529">
        <v>3600</v>
      </c>
      <c r="AN26" s="529">
        <v>4660</v>
      </c>
      <c r="AO26" s="529">
        <v>5415</v>
      </c>
      <c r="AP26" s="167">
        <v>5680</v>
      </c>
      <c r="AQ26" s="166">
        <f t="shared" si="54"/>
        <v>0</v>
      </c>
      <c r="AR26" s="529">
        <f t="shared" si="55"/>
        <v>0</v>
      </c>
      <c r="AS26" s="529">
        <f t="shared" si="56"/>
        <v>1710</v>
      </c>
      <c r="AT26" s="529">
        <f t="shared" si="57"/>
        <v>0</v>
      </c>
      <c r="AU26" s="529">
        <f t="shared" si="58"/>
        <v>0</v>
      </c>
      <c r="AV26" s="529">
        <f t="shared" si="59"/>
        <v>0</v>
      </c>
      <c r="AW26" s="529">
        <f t="shared" si="60"/>
        <v>0</v>
      </c>
      <c r="AX26" s="529">
        <f t="shared" si="61"/>
        <v>0</v>
      </c>
      <c r="AY26" s="529">
        <f t="shared" si="62"/>
        <v>0</v>
      </c>
      <c r="AZ26" s="167">
        <f t="shared" si="63"/>
        <v>0</v>
      </c>
      <c r="BA26" s="87"/>
      <c r="BB26" s="87"/>
      <c r="BC26" s="87"/>
      <c r="BD26" s="87"/>
      <c r="BE26" s="87"/>
      <c r="BF26" s="87"/>
      <c r="BG26" s="87"/>
      <c r="BH26" s="87"/>
      <c r="BI26" s="87"/>
      <c r="BJ26" s="87"/>
      <c r="BK26" s="87"/>
      <c r="BL26" s="87"/>
      <c r="BM26" s="87"/>
      <c r="BN26" s="87"/>
      <c r="BO26" s="87"/>
      <c r="BP26" s="87"/>
      <c r="BQ26" s="87"/>
      <c r="BR26" s="87"/>
      <c r="BS26" s="87"/>
      <c r="BT26" s="87"/>
      <c r="BU26" s="87"/>
    </row>
    <row r="27" spans="1:73" customFormat="1" ht="15">
      <c r="A27" s="105"/>
      <c r="B27" s="530"/>
      <c r="C27" s="531" t="s">
        <v>84</v>
      </c>
      <c r="D27" s="525">
        <v>18.652999999999999</v>
      </c>
      <c r="E27" s="525">
        <v>16.61</v>
      </c>
      <c r="F27" s="532">
        <f t="shared" si="64"/>
        <v>2.25</v>
      </c>
      <c r="G27" s="530">
        <v>1200</v>
      </c>
      <c r="H27" s="533">
        <v>1625</v>
      </c>
      <c r="I27" s="533">
        <v>1625</v>
      </c>
      <c r="J27" s="168"/>
      <c r="K27" s="169">
        <v>300</v>
      </c>
      <c r="L27" s="170">
        <f t="shared" si="51"/>
        <v>2.5434000000000001</v>
      </c>
      <c r="M27" s="532">
        <f t="shared" si="52"/>
        <v>2.5457142857142858</v>
      </c>
      <c r="N27" s="171">
        <f t="shared" si="65"/>
        <v>2.2628571428571429</v>
      </c>
      <c r="O27" s="141"/>
      <c r="P27" s="172">
        <f t="shared" si="53"/>
        <v>0</v>
      </c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166">
        <v>0</v>
      </c>
      <c r="AH27" s="529">
        <v>0</v>
      </c>
      <c r="AI27" s="529">
        <v>1710</v>
      </c>
      <c r="AJ27" s="529">
        <v>2065</v>
      </c>
      <c r="AK27" s="529">
        <v>2565</v>
      </c>
      <c r="AL27" s="529">
        <v>2828</v>
      </c>
      <c r="AM27" s="529">
        <v>3600</v>
      </c>
      <c r="AN27" s="529">
        <v>4660</v>
      </c>
      <c r="AO27" s="529">
        <v>5415</v>
      </c>
      <c r="AP27" s="167">
        <v>5680</v>
      </c>
      <c r="AQ27" s="166">
        <f t="shared" si="54"/>
        <v>0</v>
      </c>
      <c r="AR27" s="529">
        <f t="shared" si="55"/>
        <v>0</v>
      </c>
      <c r="AS27" s="529">
        <f t="shared" si="56"/>
        <v>1710</v>
      </c>
      <c r="AT27" s="529">
        <f t="shared" si="57"/>
        <v>0</v>
      </c>
      <c r="AU27" s="529">
        <f t="shared" si="58"/>
        <v>0</v>
      </c>
      <c r="AV27" s="529">
        <f t="shared" si="59"/>
        <v>0</v>
      </c>
      <c r="AW27" s="529">
        <f t="shared" si="60"/>
        <v>0</v>
      </c>
      <c r="AX27" s="529">
        <f t="shared" si="61"/>
        <v>0</v>
      </c>
      <c r="AY27" s="529">
        <f t="shared" si="62"/>
        <v>0</v>
      </c>
      <c r="AZ27" s="167">
        <f t="shared" si="63"/>
        <v>0</v>
      </c>
      <c r="BA27" s="87"/>
      <c r="BB27" s="87"/>
      <c r="BC27" s="87"/>
      <c r="BD27" s="87"/>
      <c r="BE27" s="87"/>
      <c r="BF27" s="87"/>
      <c r="BG27" s="87"/>
      <c r="BH27" s="87"/>
      <c r="BI27" s="87"/>
      <c r="BJ27" s="87"/>
      <c r="BK27" s="87"/>
      <c r="BL27" s="87"/>
      <c r="BM27" s="87"/>
      <c r="BN27" s="87"/>
      <c r="BO27" s="87"/>
      <c r="BP27" s="87"/>
      <c r="BQ27" s="87"/>
      <c r="BR27" s="87"/>
      <c r="BS27" s="87"/>
      <c r="BT27" s="87"/>
      <c r="BU27" s="87"/>
    </row>
    <row r="28" spans="1:73" customFormat="1" ht="15">
      <c r="A28" s="105"/>
      <c r="B28" s="531"/>
      <c r="C28" s="531" t="s">
        <v>85</v>
      </c>
      <c r="D28" s="525">
        <v>18.652999999999999</v>
      </c>
      <c r="E28" s="525">
        <v>16.61</v>
      </c>
      <c r="F28" s="532">
        <f t="shared" si="64"/>
        <v>2.25</v>
      </c>
      <c r="G28" s="530">
        <v>1200</v>
      </c>
      <c r="H28" s="533">
        <v>1625</v>
      </c>
      <c r="I28" s="533">
        <v>1625</v>
      </c>
      <c r="J28" s="168"/>
      <c r="K28" s="169">
        <v>300</v>
      </c>
      <c r="L28" s="170">
        <f t="shared" si="51"/>
        <v>2.5434000000000001</v>
      </c>
      <c r="M28" s="532">
        <f t="shared" si="52"/>
        <v>2.5457142857142858</v>
      </c>
      <c r="N28" s="171">
        <f t="shared" si="65"/>
        <v>2.2628571428571429</v>
      </c>
      <c r="O28" s="141"/>
      <c r="P28" s="172">
        <f t="shared" si="53"/>
        <v>0</v>
      </c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166">
        <v>0</v>
      </c>
      <c r="AH28" s="529">
        <v>0</v>
      </c>
      <c r="AI28" s="529">
        <v>1710</v>
      </c>
      <c r="AJ28" s="529">
        <v>2065</v>
      </c>
      <c r="AK28" s="529">
        <v>2565</v>
      </c>
      <c r="AL28" s="529">
        <v>2828</v>
      </c>
      <c r="AM28" s="529">
        <v>3600</v>
      </c>
      <c r="AN28" s="529">
        <v>4660</v>
      </c>
      <c r="AO28" s="529">
        <v>5415</v>
      </c>
      <c r="AP28" s="167">
        <v>5680</v>
      </c>
      <c r="AQ28" s="166">
        <f t="shared" si="54"/>
        <v>0</v>
      </c>
      <c r="AR28" s="529">
        <f t="shared" si="55"/>
        <v>0</v>
      </c>
      <c r="AS28" s="529">
        <f t="shared" si="56"/>
        <v>1710</v>
      </c>
      <c r="AT28" s="529">
        <f t="shared" si="57"/>
        <v>0</v>
      </c>
      <c r="AU28" s="529">
        <f t="shared" si="58"/>
        <v>0</v>
      </c>
      <c r="AV28" s="529">
        <f t="shared" si="59"/>
        <v>0</v>
      </c>
      <c r="AW28" s="529">
        <f t="shared" si="60"/>
        <v>0</v>
      </c>
      <c r="AX28" s="529">
        <f t="shared" si="61"/>
        <v>0</v>
      </c>
      <c r="AY28" s="529">
        <f t="shared" si="62"/>
        <v>0</v>
      </c>
      <c r="AZ28" s="167">
        <f t="shared" si="63"/>
        <v>0</v>
      </c>
      <c r="BA28" s="87"/>
      <c r="BB28" s="87"/>
      <c r="BC28" s="87"/>
      <c r="BD28" s="87"/>
      <c r="BE28" s="87"/>
      <c r="BF28" s="87"/>
      <c r="BG28" s="87"/>
      <c r="BH28" s="87"/>
      <c r="BI28" s="87"/>
      <c r="BJ28" s="87"/>
      <c r="BK28" s="87"/>
      <c r="BL28" s="87"/>
      <c r="BM28" s="87"/>
      <c r="BN28" s="87"/>
      <c r="BO28" s="87"/>
      <c r="BP28" s="87"/>
      <c r="BQ28" s="87"/>
      <c r="BR28" s="87"/>
      <c r="BS28" s="87"/>
      <c r="BT28" s="87"/>
      <c r="BU28" s="87"/>
    </row>
    <row r="29" spans="1:73" customFormat="1" ht="15">
      <c r="A29" s="105"/>
      <c r="B29" s="530"/>
      <c r="C29" s="531" t="s">
        <v>86</v>
      </c>
      <c r="D29" s="525">
        <v>18.652999999999999</v>
      </c>
      <c r="E29" s="525">
        <v>16.61</v>
      </c>
      <c r="F29" s="532">
        <f t="shared" si="64"/>
        <v>2.25</v>
      </c>
      <c r="G29" s="530">
        <v>1200</v>
      </c>
      <c r="H29" s="533">
        <v>1625</v>
      </c>
      <c r="I29" s="533">
        <v>1625</v>
      </c>
      <c r="J29" s="168"/>
      <c r="K29" s="169">
        <v>300</v>
      </c>
      <c r="L29" s="170">
        <f t="shared" si="51"/>
        <v>2.5434000000000001</v>
      </c>
      <c r="M29" s="532">
        <f t="shared" si="52"/>
        <v>2.5457142857142858</v>
      </c>
      <c r="N29" s="171">
        <f t="shared" si="65"/>
        <v>2.2628571428571429</v>
      </c>
      <c r="O29" s="141"/>
      <c r="P29" s="172">
        <f t="shared" si="53"/>
        <v>0</v>
      </c>
      <c r="Q29" s="87"/>
      <c r="R29" s="87"/>
      <c r="S29" s="87"/>
      <c r="T29" s="87"/>
      <c r="U29" s="87"/>
      <c r="V29" s="87"/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166">
        <v>0</v>
      </c>
      <c r="AH29" s="529">
        <v>0</v>
      </c>
      <c r="AI29" s="529">
        <v>1710</v>
      </c>
      <c r="AJ29" s="529">
        <v>2065</v>
      </c>
      <c r="AK29" s="529">
        <v>2565</v>
      </c>
      <c r="AL29" s="529">
        <v>2828</v>
      </c>
      <c r="AM29" s="529">
        <v>3600</v>
      </c>
      <c r="AN29" s="529">
        <v>4660</v>
      </c>
      <c r="AO29" s="529">
        <v>5415</v>
      </c>
      <c r="AP29" s="167">
        <v>5680</v>
      </c>
      <c r="AQ29" s="166">
        <f t="shared" si="54"/>
        <v>0</v>
      </c>
      <c r="AR29" s="529">
        <f t="shared" si="55"/>
        <v>0</v>
      </c>
      <c r="AS29" s="529">
        <f t="shared" si="56"/>
        <v>1710</v>
      </c>
      <c r="AT29" s="529">
        <f t="shared" si="57"/>
        <v>0</v>
      </c>
      <c r="AU29" s="529">
        <f t="shared" si="58"/>
        <v>0</v>
      </c>
      <c r="AV29" s="529">
        <f t="shared" si="59"/>
        <v>0</v>
      </c>
      <c r="AW29" s="529">
        <f t="shared" si="60"/>
        <v>0</v>
      </c>
      <c r="AX29" s="529">
        <f t="shared" si="61"/>
        <v>0</v>
      </c>
      <c r="AY29" s="529">
        <f t="shared" si="62"/>
        <v>0</v>
      </c>
      <c r="AZ29" s="167">
        <f t="shared" si="63"/>
        <v>0</v>
      </c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87"/>
      <c r="BO29" s="87"/>
      <c r="BP29" s="87"/>
      <c r="BQ29" s="87"/>
      <c r="BR29" s="87"/>
      <c r="BS29" s="87"/>
      <c r="BT29" s="87"/>
      <c r="BU29" s="87"/>
    </row>
    <row r="30" spans="1:73" customFormat="1" ht="15">
      <c r="A30" s="105"/>
      <c r="B30" s="530"/>
      <c r="C30" s="531" t="s">
        <v>87</v>
      </c>
      <c r="D30" s="525">
        <v>18.652999999999999</v>
      </c>
      <c r="E30" s="525">
        <v>16.61</v>
      </c>
      <c r="F30" s="532">
        <f t="shared" si="64"/>
        <v>2.25</v>
      </c>
      <c r="G30" s="530">
        <v>1200</v>
      </c>
      <c r="H30" s="533">
        <v>1625</v>
      </c>
      <c r="I30" s="533">
        <v>1625</v>
      </c>
      <c r="J30" s="168"/>
      <c r="K30" s="169">
        <v>375</v>
      </c>
      <c r="L30" s="170">
        <f t="shared" si="51"/>
        <v>2.5434000000000001</v>
      </c>
      <c r="M30" s="532">
        <f t="shared" si="52"/>
        <v>2.5457142857142858</v>
      </c>
      <c r="N30" s="171">
        <f t="shared" si="65"/>
        <v>2.2628571428571429</v>
      </c>
      <c r="O30" s="141"/>
      <c r="P30" s="172">
        <f t="shared" si="53"/>
        <v>0</v>
      </c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166">
        <v>0</v>
      </c>
      <c r="AH30" s="529">
        <v>0</v>
      </c>
      <c r="AI30" s="529">
        <v>1710</v>
      </c>
      <c r="AJ30" s="529">
        <v>2065</v>
      </c>
      <c r="AK30" s="529">
        <v>2565</v>
      </c>
      <c r="AL30" s="529">
        <v>2828</v>
      </c>
      <c r="AM30" s="529">
        <v>3600</v>
      </c>
      <c r="AN30" s="529">
        <v>4660</v>
      </c>
      <c r="AO30" s="529">
        <v>5415</v>
      </c>
      <c r="AP30" s="167">
        <v>5680</v>
      </c>
      <c r="AQ30" s="166">
        <f t="shared" si="54"/>
        <v>0</v>
      </c>
      <c r="AR30" s="529">
        <f t="shared" si="55"/>
        <v>0</v>
      </c>
      <c r="AS30" s="529">
        <f t="shared" si="56"/>
        <v>1710</v>
      </c>
      <c r="AT30" s="529">
        <f t="shared" si="57"/>
        <v>0</v>
      </c>
      <c r="AU30" s="529">
        <f t="shared" si="58"/>
        <v>0</v>
      </c>
      <c r="AV30" s="529">
        <f t="shared" si="59"/>
        <v>0</v>
      </c>
      <c r="AW30" s="529">
        <f t="shared" si="60"/>
        <v>0</v>
      </c>
      <c r="AX30" s="529">
        <f t="shared" si="61"/>
        <v>0</v>
      </c>
      <c r="AY30" s="529">
        <f t="shared" si="62"/>
        <v>0</v>
      </c>
      <c r="AZ30" s="167">
        <f t="shared" si="63"/>
        <v>0</v>
      </c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87"/>
      <c r="BO30" s="87"/>
      <c r="BP30" s="87"/>
      <c r="BQ30" s="87"/>
      <c r="BR30" s="87"/>
      <c r="BS30" s="87"/>
      <c r="BT30" s="87"/>
      <c r="BU30" s="87"/>
    </row>
    <row r="31" spans="1:73" customFormat="1" ht="15">
      <c r="A31" s="105"/>
      <c r="B31" s="530"/>
      <c r="C31" s="531" t="s">
        <v>88</v>
      </c>
      <c r="D31" s="525">
        <v>18.652999999999999</v>
      </c>
      <c r="E31" s="525">
        <v>16.61</v>
      </c>
      <c r="F31" s="532">
        <f t="shared" si="64"/>
        <v>2.25</v>
      </c>
      <c r="G31" s="530">
        <v>1200</v>
      </c>
      <c r="H31" s="533">
        <v>1625</v>
      </c>
      <c r="I31" s="533">
        <v>1625</v>
      </c>
      <c r="J31" s="168"/>
      <c r="K31" s="169">
        <v>375</v>
      </c>
      <c r="L31" s="170">
        <f t="shared" si="51"/>
        <v>2.5434000000000001</v>
      </c>
      <c r="M31" s="532">
        <f t="shared" si="52"/>
        <v>2.5457142857142858</v>
      </c>
      <c r="N31" s="171">
        <f t="shared" si="65"/>
        <v>2.2628571428571429</v>
      </c>
      <c r="O31" s="141"/>
      <c r="P31" s="172">
        <f t="shared" si="53"/>
        <v>0</v>
      </c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166">
        <v>0</v>
      </c>
      <c r="AH31" s="529">
        <v>0</v>
      </c>
      <c r="AI31" s="529">
        <v>1710</v>
      </c>
      <c r="AJ31" s="529">
        <v>2065</v>
      </c>
      <c r="AK31" s="529">
        <v>2565</v>
      </c>
      <c r="AL31" s="529">
        <v>2828</v>
      </c>
      <c r="AM31" s="529">
        <v>3600</v>
      </c>
      <c r="AN31" s="529">
        <v>4660</v>
      </c>
      <c r="AO31" s="529">
        <v>5415</v>
      </c>
      <c r="AP31" s="167">
        <v>5680</v>
      </c>
      <c r="AQ31" s="166">
        <f t="shared" si="54"/>
        <v>0</v>
      </c>
      <c r="AR31" s="529">
        <f t="shared" si="55"/>
        <v>0</v>
      </c>
      <c r="AS31" s="529">
        <f t="shared" si="56"/>
        <v>1710</v>
      </c>
      <c r="AT31" s="529">
        <f t="shared" si="57"/>
        <v>0</v>
      </c>
      <c r="AU31" s="529">
        <f t="shared" si="58"/>
        <v>0</v>
      </c>
      <c r="AV31" s="529">
        <f t="shared" si="59"/>
        <v>0</v>
      </c>
      <c r="AW31" s="529">
        <f t="shared" si="60"/>
        <v>0</v>
      </c>
      <c r="AX31" s="529">
        <f t="shared" si="61"/>
        <v>0</v>
      </c>
      <c r="AY31" s="529">
        <f t="shared" si="62"/>
        <v>0</v>
      </c>
      <c r="AZ31" s="167">
        <f t="shared" si="63"/>
        <v>0</v>
      </c>
      <c r="BA31" s="87"/>
      <c r="BB31" s="87"/>
      <c r="BC31" s="87"/>
      <c r="BD31" s="87"/>
      <c r="BE31" s="87"/>
      <c r="BF31" s="87"/>
      <c r="BG31" s="87"/>
      <c r="BH31" s="87"/>
      <c r="BI31" s="87"/>
      <c r="BJ31" s="87"/>
      <c r="BK31" s="87"/>
      <c r="BL31" s="87"/>
      <c r="BM31" s="87"/>
      <c r="BN31" s="87"/>
      <c r="BO31" s="87"/>
      <c r="BP31" s="87"/>
      <c r="BQ31" s="87"/>
      <c r="BR31" s="87"/>
      <c r="BS31" s="87"/>
      <c r="BT31" s="87"/>
      <c r="BU31" s="87"/>
    </row>
    <row r="32" spans="1:73" customFormat="1" ht="15">
      <c r="A32" s="105"/>
      <c r="B32" s="530"/>
      <c r="C32" s="531" t="s">
        <v>89</v>
      </c>
      <c r="D32" s="525">
        <v>18.652999999999999</v>
      </c>
      <c r="E32" s="525">
        <v>16.61</v>
      </c>
      <c r="F32" s="532">
        <f t="shared" si="64"/>
        <v>2.25</v>
      </c>
      <c r="G32" s="530">
        <v>1200</v>
      </c>
      <c r="H32" s="533">
        <v>1625</v>
      </c>
      <c r="I32" s="533">
        <v>1625</v>
      </c>
      <c r="J32" s="168"/>
      <c r="K32" s="169">
        <v>375</v>
      </c>
      <c r="L32" s="170">
        <f t="shared" si="51"/>
        <v>2.5434000000000001</v>
      </c>
      <c r="M32" s="532">
        <f t="shared" si="52"/>
        <v>2.5457142857142858</v>
      </c>
      <c r="N32" s="171">
        <f t="shared" si="65"/>
        <v>2.2628571428571429</v>
      </c>
      <c r="O32" s="141"/>
      <c r="P32" s="172">
        <f t="shared" si="53"/>
        <v>0</v>
      </c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166">
        <v>0</v>
      </c>
      <c r="AH32" s="529">
        <v>0</v>
      </c>
      <c r="AI32" s="529">
        <v>1710</v>
      </c>
      <c r="AJ32" s="529">
        <v>2065</v>
      </c>
      <c r="AK32" s="529">
        <v>2565</v>
      </c>
      <c r="AL32" s="529">
        <v>2828</v>
      </c>
      <c r="AM32" s="529">
        <v>3600</v>
      </c>
      <c r="AN32" s="529">
        <v>4660</v>
      </c>
      <c r="AO32" s="529">
        <v>5415</v>
      </c>
      <c r="AP32" s="167">
        <v>5680</v>
      </c>
      <c r="AQ32" s="166">
        <f t="shared" si="54"/>
        <v>0</v>
      </c>
      <c r="AR32" s="529">
        <f t="shared" si="55"/>
        <v>0</v>
      </c>
      <c r="AS32" s="529">
        <f t="shared" si="56"/>
        <v>1710</v>
      </c>
      <c r="AT32" s="529">
        <f t="shared" si="57"/>
        <v>0</v>
      </c>
      <c r="AU32" s="529">
        <f t="shared" si="58"/>
        <v>0</v>
      </c>
      <c r="AV32" s="529">
        <f t="shared" si="59"/>
        <v>0</v>
      </c>
      <c r="AW32" s="529">
        <f t="shared" si="60"/>
        <v>0</v>
      </c>
      <c r="AX32" s="529">
        <f t="shared" si="61"/>
        <v>0</v>
      </c>
      <c r="AY32" s="529">
        <f t="shared" si="62"/>
        <v>0</v>
      </c>
      <c r="AZ32" s="167">
        <f t="shared" si="63"/>
        <v>0</v>
      </c>
      <c r="BA32" s="87"/>
      <c r="BB32" s="87"/>
      <c r="BC32" s="87"/>
      <c r="BD32" s="87"/>
      <c r="BE32" s="87"/>
      <c r="BF32" s="87"/>
      <c r="BG32" s="87"/>
      <c r="BH32" s="87"/>
      <c r="BI32" s="87"/>
      <c r="BJ32" s="87"/>
      <c r="BK32" s="87"/>
      <c r="BL32" s="87"/>
      <c r="BM32" s="87"/>
      <c r="BN32" s="87"/>
      <c r="BO32" s="87"/>
      <c r="BP32" s="87"/>
      <c r="BQ32" s="87"/>
      <c r="BR32" s="87"/>
      <c r="BS32" s="87"/>
      <c r="BT32" s="87"/>
      <c r="BU32" s="87"/>
    </row>
    <row r="33" spans="1:73" customFormat="1" ht="15">
      <c r="A33" s="105"/>
      <c r="B33" s="530"/>
      <c r="C33" s="531" t="s">
        <v>90</v>
      </c>
      <c r="D33" s="525">
        <v>18.652999999999999</v>
      </c>
      <c r="E33" s="525">
        <v>16.61</v>
      </c>
      <c r="F33" s="532">
        <f t="shared" si="64"/>
        <v>2.25</v>
      </c>
      <c r="G33" s="530">
        <v>1200</v>
      </c>
      <c r="H33" s="533">
        <v>1625</v>
      </c>
      <c r="I33" s="533">
        <v>1625</v>
      </c>
      <c r="J33" s="168"/>
      <c r="K33" s="169">
        <v>375</v>
      </c>
      <c r="L33" s="170">
        <f t="shared" si="51"/>
        <v>2.5434000000000001</v>
      </c>
      <c r="M33" s="532">
        <f t="shared" si="52"/>
        <v>2.5457142857142858</v>
      </c>
      <c r="N33" s="171">
        <f t="shared" si="65"/>
        <v>2.2628571428571429</v>
      </c>
      <c r="O33" s="141"/>
      <c r="P33" s="172">
        <f t="shared" si="53"/>
        <v>0</v>
      </c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166">
        <v>0</v>
      </c>
      <c r="AH33" s="529">
        <v>0</v>
      </c>
      <c r="AI33" s="529">
        <v>1710</v>
      </c>
      <c r="AJ33" s="529">
        <v>2065</v>
      </c>
      <c r="AK33" s="529">
        <v>2565</v>
      </c>
      <c r="AL33" s="529">
        <v>2828</v>
      </c>
      <c r="AM33" s="529">
        <v>3600</v>
      </c>
      <c r="AN33" s="529">
        <v>4660</v>
      </c>
      <c r="AO33" s="529">
        <v>5415</v>
      </c>
      <c r="AP33" s="167">
        <v>5680</v>
      </c>
      <c r="AQ33" s="166">
        <f t="shared" si="54"/>
        <v>0</v>
      </c>
      <c r="AR33" s="529">
        <f t="shared" si="55"/>
        <v>0</v>
      </c>
      <c r="AS33" s="529">
        <f t="shared" si="56"/>
        <v>1710</v>
      </c>
      <c r="AT33" s="529">
        <f t="shared" si="57"/>
        <v>0</v>
      </c>
      <c r="AU33" s="529">
        <f t="shared" si="58"/>
        <v>0</v>
      </c>
      <c r="AV33" s="529">
        <f t="shared" si="59"/>
        <v>0</v>
      </c>
      <c r="AW33" s="529">
        <f t="shared" si="60"/>
        <v>0</v>
      </c>
      <c r="AX33" s="529">
        <f t="shared" si="61"/>
        <v>0</v>
      </c>
      <c r="AY33" s="529">
        <f t="shared" si="62"/>
        <v>0</v>
      </c>
      <c r="AZ33" s="167">
        <f t="shared" si="63"/>
        <v>0</v>
      </c>
      <c r="BA33" s="87"/>
      <c r="BB33" s="87"/>
      <c r="BC33" s="87"/>
      <c r="BD33" s="87"/>
      <c r="BE33" s="87"/>
      <c r="BF33" s="87"/>
      <c r="BG33" s="87"/>
      <c r="BH33" s="87"/>
      <c r="BI33" s="87"/>
      <c r="BJ33" s="87"/>
      <c r="BK33" s="87"/>
      <c r="BL33" s="87"/>
      <c r="BM33" s="87"/>
      <c r="BN33" s="87"/>
      <c r="BO33" s="87"/>
      <c r="BP33" s="87"/>
      <c r="BQ33" s="87"/>
      <c r="BR33" s="87"/>
      <c r="BS33" s="87"/>
      <c r="BT33" s="87"/>
      <c r="BU33" s="87"/>
    </row>
    <row r="34" spans="1:73" customFormat="1" ht="15">
      <c r="A34" s="105"/>
      <c r="B34" s="531"/>
      <c r="C34" s="531" t="s">
        <v>91</v>
      </c>
      <c r="D34" s="525">
        <v>18.652999999999999</v>
      </c>
      <c r="E34" s="525">
        <v>16.61</v>
      </c>
      <c r="F34" s="532">
        <f t="shared" si="64"/>
        <v>2.25</v>
      </c>
      <c r="G34" s="530">
        <v>1200</v>
      </c>
      <c r="H34" s="533">
        <v>1625</v>
      </c>
      <c r="I34" s="533">
        <v>1625</v>
      </c>
      <c r="J34" s="168"/>
      <c r="K34" s="169">
        <v>450</v>
      </c>
      <c r="L34" s="170">
        <f t="shared" si="51"/>
        <v>2.5434000000000001</v>
      </c>
      <c r="M34" s="532">
        <f t="shared" si="52"/>
        <v>2.5457142857142858</v>
      </c>
      <c r="N34" s="171">
        <f t="shared" si="65"/>
        <v>2.2628571428571429</v>
      </c>
      <c r="O34" s="141"/>
      <c r="P34" s="172">
        <f t="shared" si="53"/>
        <v>0</v>
      </c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166">
        <v>0</v>
      </c>
      <c r="AH34" s="529">
        <v>0</v>
      </c>
      <c r="AI34" s="529">
        <v>1710</v>
      </c>
      <c r="AJ34" s="529">
        <v>2065</v>
      </c>
      <c r="AK34" s="529">
        <v>2565</v>
      </c>
      <c r="AL34" s="529">
        <v>2828</v>
      </c>
      <c r="AM34" s="529">
        <v>3600</v>
      </c>
      <c r="AN34" s="529">
        <v>4660</v>
      </c>
      <c r="AO34" s="529">
        <v>5415</v>
      </c>
      <c r="AP34" s="167">
        <v>5680</v>
      </c>
      <c r="AQ34" s="166">
        <f t="shared" si="54"/>
        <v>0</v>
      </c>
      <c r="AR34" s="529">
        <f t="shared" si="55"/>
        <v>0</v>
      </c>
      <c r="AS34" s="529">
        <f t="shared" si="56"/>
        <v>1710</v>
      </c>
      <c r="AT34" s="529">
        <f t="shared" si="57"/>
        <v>0</v>
      </c>
      <c r="AU34" s="529">
        <f t="shared" si="58"/>
        <v>0</v>
      </c>
      <c r="AV34" s="529">
        <f t="shared" si="59"/>
        <v>0</v>
      </c>
      <c r="AW34" s="529">
        <f t="shared" si="60"/>
        <v>0</v>
      </c>
      <c r="AX34" s="529">
        <f t="shared" si="61"/>
        <v>0</v>
      </c>
      <c r="AY34" s="529">
        <f t="shared" si="62"/>
        <v>0</v>
      </c>
      <c r="AZ34" s="167">
        <f t="shared" si="63"/>
        <v>0</v>
      </c>
      <c r="BA34" s="87"/>
      <c r="BB34" s="87"/>
      <c r="BC34" s="87"/>
      <c r="BD34" s="87"/>
      <c r="BE34" s="87"/>
      <c r="BF34" s="87"/>
      <c r="BG34" s="87"/>
      <c r="BH34" s="87"/>
      <c r="BI34" s="87"/>
      <c r="BJ34" s="87"/>
      <c r="BK34" s="87"/>
      <c r="BL34" s="87"/>
      <c r="BM34" s="87"/>
      <c r="BN34" s="87"/>
      <c r="BO34" s="87"/>
      <c r="BP34" s="87"/>
      <c r="BQ34" s="87"/>
      <c r="BR34" s="87"/>
      <c r="BS34" s="87"/>
      <c r="BT34" s="87"/>
      <c r="BU34" s="87"/>
    </row>
    <row r="35" spans="1:73" customFormat="1" ht="15">
      <c r="A35" s="105"/>
      <c r="B35" s="530"/>
      <c r="C35" s="531" t="s">
        <v>92</v>
      </c>
      <c r="D35" s="525">
        <v>18.652999999999999</v>
      </c>
      <c r="E35" s="525">
        <v>16.61</v>
      </c>
      <c r="F35" s="532">
        <f t="shared" si="64"/>
        <v>2.25</v>
      </c>
      <c r="G35" s="530">
        <v>1200</v>
      </c>
      <c r="H35" s="533">
        <v>1625</v>
      </c>
      <c r="I35" s="533">
        <v>1625</v>
      </c>
      <c r="J35" s="168"/>
      <c r="K35" s="169">
        <v>450</v>
      </c>
      <c r="L35" s="170">
        <f t="shared" si="51"/>
        <v>2.5434000000000001</v>
      </c>
      <c r="M35" s="532">
        <f t="shared" si="52"/>
        <v>2.5457142857142858</v>
      </c>
      <c r="N35" s="171">
        <f t="shared" si="65"/>
        <v>2.2628571428571429</v>
      </c>
      <c r="O35" s="141"/>
      <c r="P35" s="172">
        <f t="shared" si="53"/>
        <v>0</v>
      </c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166">
        <v>0</v>
      </c>
      <c r="AH35" s="529">
        <v>0</v>
      </c>
      <c r="AI35" s="529">
        <v>1710</v>
      </c>
      <c r="AJ35" s="529">
        <v>2065</v>
      </c>
      <c r="AK35" s="529">
        <v>2565</v>
      </c>
      <c r="AL35" s="529">
        <v>2828</v>
      </c>
      <c r="AM35" s="529">
        <v>3600</v>
      </c>
      <c r="AN35" s="529">
        <v>4660</v>
      </c>
      <c r="AO35" s="529">
        <v>5415</v>
      </c>
      <c r="AP35" s="167">
        <v>5680</v>
      </c>
      <c r="AQ35" s="166">
        <f t="shared" si="54"/>
        <v>0</v>
      </c>
      <c r="AR35" s="529">
        <f t="shared" si="55"/>
        <v>0</v>
      </c>
      <c r="AS35" s="529">
        <f t="shared" si="56"/>
        <v>1710</v>
      </c>
      <c r="AT35" s="529">
        <f t="shared" si="57"/>
        <v>0</v>
      </c>
      <c r="AU35" s="529">
        <f t="shared" si="58"/>
        <v>0</v>
      </c>
      <c r="AV35" s="529">
        <f t="shared" si="59"/>
        <v>0</v>
      </c>
      <c r="AW35" s="529">
        <f t="shared" si="60"/>
        <v>0</v>
      </c>
      <c r="AX35" s="529">
        <f t="shared" si="61"/>
        <v>0</v>
      </c>
      <c r="AY35" s="529">
        <f t="shared" si="62"/>
        <v>0</v>
      </c>
      <c r="AZ35" s="167">
        <f t="shared" si="63"/>
        <v>0</v>
      </c>
      <c r="BA35" s="87"/>
      <c r="BB35" s="87"/>
      <c r="BC35" s="87"/>
      <c r="BD35" s="87"/>
      <c r="BE35" s="87"/>
      <c r="BF35" s="87"/>
      <c r="BG35" s="87"/>
      <c r="BH35" s="87"/>
      <c r="BI35" s="87"/>
      <c r="BJ35" s="87"/>
      <c r="BK35" s="87"/>
      <c r="BL35" s="87"/>
      <c r="BM35" s="87"/>
      <c r="BN35" s="87"/>
      <c r="BO35" s="87"/>
      <c r="BP35" s="87"/>
      <c r="BQ35" s="87"/>
      <c r="BR35" s="87"/>
      <c r="BS35" s="87"/>
      <c r="BT35" s="87"/>
      <c r="BU35" s="87"/>
    </row>
    <row r="36" spans="1:73" customFormat="1" ht="15">
      <c r="A36" s="105"/>
      <c r="B36" s="530"/>
      <c r="C36" s="531" t="s">
        <v>93</v>
      </c>
      <c r="D36" s="525">
        <v>18.652999999999999</v>
      </c>
      <c r="E36" s="525">
        <v>16.61</v>
      </c>
      <c r="F36" s="532">
        <f t="shared" si="64"/>
        <v>2.25</v>
      </c>
      <c r="G36" s="530">
        <v>1200</v>
      </c>
      <c r="H36" s="533">
        <v>1625</v>
      </c>
      <c r="I36" s="533">
        <v>1625</v>
      </c>
      <c r="J36" s="168"/>
      <c r="K36" s="169">
        <v>450</v>
      </c>
      <c r="L36" s="170">
        <f t="shared" si="51"/>
        <v>2.5434000000000001</v>
      </c>
      <c r="M36" s="532">
        <f>22/7*(G36/2/1000)*(G36/2/1000)*F36</f>
        <v>2.5457142857142858</v>
      </c>
      <c r="N36" s="171">
        <f t="shared" si="65"/>
        <v>2.2628571428571429</v>
      </c>
      <c r="O36" s="141"/>
      <c r="P36" s="172">
        <f t="shared" si="53"/>
        <v>0</v>
      </c>
      <c r="Q36" s="87"/>
      <c r="R36" s="87"/>
      <c r="S36" s="87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166">
        <v>0</v>
      </c>
      <c r="AH36" s="529">
        <v>0</v>
      </c>
      <c r="AI36" s="529">
        <v>1710</v>
      </c>
      <c r="AJ36" s="529">
        <v>2065</v>
      </c>
      <c r="AK36" s="529">
        <v>2565</v>
      </c>
      <c r="AL36" s="529">
        <v>2828</v>
      </c>
      <c r="AM36" s="529">
        <v>3600</v>
      </c>
      <c r="AN36" s="529">
        <v>4660</v>
      </c>
      <c r="AO36" s="529">
        <v>5415</v>
      </c>
      <c r="AP36" s="167">
        <v>5680</v>
      </c>
      <c r="AQ36" s="166">
        <f>IF($G36=$AG$21,AG36,0)</f>
        <v>0</v>
      </c>
      <c r="AR36" s="529">
        <f>IF($G36=$AH$21,AH36,0)</f>
        <v>0</v>
      </c>
      <c r="AS36" s="529">
        <f>IF($G36=$AI$21,AI36,0)</f>
        <v>1710</v>
      </c>
      <c r="AT36" s="529">
        <f>IF($G36=$AJ$21,AJ36,0)</f>
        <v>0</v>
      </c>
      <c r="AU36" s="529">
        <f>IF($G36=$AK$21,AK36,0)</f>
        <v>0</v>
      </c>
      <c r="AV36" s="529">
        <f>IF($G36=$AL$21,AL36,0)</f>
        <v>0</v>
      </c>
      <c r="AW36" s="529">
        <f>IF($G36=$AM$21,AM36,0)</f>
        <v>0</v>
      </c>
      <c r="AX36" s="529">
        <f>IF($G36=$AN$21,AN36,0)</f>
        <v>0</v>
      </c>
      <c r="AY36" s="529">
        <f>IF($G36=$AO$21,AO36,0)</f>
        <v>0</v>
      </c>
      <c r="AZ36" s="167">
        <f>IF($G36=$AP$21,AP36,0)</f>
        <v>0</v>
      </c>
      <c r="BA36" s="87"/>
      <c r="BB36" s="87"/>
      <c r="BC36" s="87"/>
      <c r="BD36" s="87"/>
      <c r="BE36" s="87"/>
      <c r="BF36" s="87"/>
      <c r="BG36" s="87"/>
      <c r="BH36" s="87"/>
      <c r="BI36" s="87"/>
      <c r="BJ36" s="87"/>
      <c r="BK36" s="87"/>
      <c r="BL36" s="87"/>
      <c r="BM36" s="87"/>
      <c r="BN36" s="87"/>
      <c r="BO36" s="87"/>
      <c r="BP36" s="87"/>
      <c r="BQ36" s="87"/>
      <c r="BR36" s="87"/>
      <c r="BS36" s="87"/>
      <c r="BT36" s="87"/>
      <c r="BU36" s="87"/>
    </row>
    <row r="37" spans="1:73" customFormat="1" ht="15">
      <c r="A37" s="105"/>
      <c r="B37" s="531"/>
      <c r="C37" s="531" t="s">
        <v>94</v>
      </c>
      <c r="D37" s="525">
        <v>18.652999999999999</v>
      </c>
      <c r="E37" s="525">
        <v>16.61</v>
      </c>
      <c r="F37" s="532">
        <f t="shared" si="64"/>
        <v>2.25</v>
      </c>
      <c r="G37" s="530">
        <v>1200</v>
      </c>
      <c r="H37" s="533">
        <v>1625</v>
      </c>
      <c r="I37" s="533">
        <v>1625</v>
      </c>
      <c r="J37" s="168"/>
      <c r="K37" s="169">
        <v>450</v>
      </c>
      <c r="L37" s="170">
        <f t="shared" si="51"/>
        <v>2.5434000000000001</v>
      </c>
      <c r="M37" s="532">
        <f>22/7*(G37/2/1000)*(G37/2/1000)*F37</f>
        <v>2.5457142857142858</v>
      </c>
      <c r="N37" s="171">
        <f t="shared" si="65"/>
        <v>2.2628571428571429</v>
      </c>
      <c r="O37" s="141"/>
      <c r="P37" s="172">
        <f t="shared" si="53"/>
        <v>0</v>
      </c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166">
        <v>0</v>
      </c>
      <c r="AH37" s="529">
        <v>0</v>
      </c>
      <c r="AI37" s="529">
        <v>1710</v>
      </c>
      <c r="AJ37" s="529">
        <v>2065</v>
      </c>
      <c r="AK37" s="529">
        <v>2565</v>
      </c>
      <c r="AL37" s="529">
        <v>2828</v>
      </c>
      <c r="AM37" s="529">
        <v>3600</v>
      </c>
      <c r="AN37" s="529">
        <v>4660</v>
      </c>
      <c r="AO37" s="529">
        <v>5415</v>
      </c>
      <c r="AP37" s="167">
        <v>5680</v>
      </c>
      <c r="AQ37" s="166">
        <f>IF($G37=$AG$21,AG37,0)</f>
        <v>0</v>
      </c>
      <c r="AR37" s="529">
        <f>IF($G37=$AH$21,AH37,0)</f>
        <v>0</v>
      </c>
      <c r="AS37" s="529">
        <f>IF($G37=$AI$21,AI37,0)</f>
        <v>1710</v>
      </c>
      <c r="AT37" s="529">
        <f>IF($G37=$AJ$21,AJ37,0)</f>
        <v>0</v>
      </c>
      <c r="AU37" s="529">
        <f>IF($G37=$AK$21,AK37,0)</f>
        <v>0</v>
      </c>
      <c r="AV37" s="529">
        <f>IF($G37=$AL$21,AL37,0)</f>
        <v>0</v>
      </c>
      <c r="AW37" s="529">
        <f>IF($G37=$AM$21,AM37,0)</f>
        <v>0</v>
      </c>
      <c r="AX37" s="529">
        <f>IF($G37=$AN$21,AN37,0)</f>
        <v>0</v>
      </c>
      <c r="AY37" s="529">
        <f>IF($G37=$AO$21,AO37,0)</f>
        <v>0</v>
      </c>
      <c r="AZ37" s="167">
        <f>IF($G37=$AP$21,AP37,0)</f>
        <v>0</v>
      </c>
      <c r="BA37" s="87"/>
      <c r="BB37" s="87"/>
      <c r="BC37" s="87"/>
      <c r="BD37" s="87"/>
      <c r="BE37" s="87"/>
      <c r="BF37" s="87"/>
      <c r="BG37" s="87"/>
      <c r="BH37" s="87"/>
      <c r="BI37" s="87"/>
      <c r="BJ37" s="87"/>
      <c r="BK37" s="87"/>
      <c r="BL37" s="87"/>
      <c r="BM37" s="87"/>
      <c r="BN37" s="87"/>
      <c r="BO37" s="87"/>
      <c r="BP37" s="87"/>
      <c r="BQ37" s="87"/>
      <c r="BR37" s="87"/>
      <c r="BS37" s="87"/>
      <c r="BT37" s="87"/>
      <c r="BU37" s="87"/>
    </row>
    <row r="38" spans="1:73" customFormat="1" ht="15">
      <c r="A38" s="105"/>
      <c r="B38" s="530"/>
      <c r="C38" s="531" t="s">
        <v>95</v>
      </c>
      <c r="D38" s="525">
        <v>18.652999999999999</v>
      </c>
      <c r="E38" s="525">
        <v>16.61</v>
      </c>
      <c r="F38" s="532">
        <f t="shared" si="64"/>
        <v>2.25</v>
      </c>
      <c r="G38" s="530">
        <v>1200</v>
      </c>
      <c r="H38" s="533">
        <v>1625</v>
      </c>
      <c r="I38" s="533">
        <v>1625</v>
      </c>
      <c r="J38" s="168"/>
      <c r="K38" s="169">
        <v>450</v>
      </c>
      <c r="L38" s="170">
        <f t="shared" si="51"/>
        <v>2.5434000000000001</v>
      </c>
      <c r="M38" s="532">
        <f t="shared" ref="M38:M66" si="66">22/7*(G38/2/1000)*(G38/2/1000)*F38</f>
        <v>2.5457142857142858</v>
      </c>
      <c r="N38" s="171">
        <f t="shared" si="65"/>
        <v>2.2628571428571429</v>
      </c>
      <c r="O38" s="141"/>
      <c r="P38" s="172">
        <f t="shared" si="53"/>
        <v>0</v>
      </c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166">
        <v>0</v>
      </c>
      <c r="AH38" s="529">
        <v>0</v>
      </c>
      <c r="AI38" s="529">
        <v>1710</v>
      </c>
      <c r="AJ38" s="529">
        <v>2065</v>
      </c>
      <c r="AK38" s="529">
        <v>2565</v>
      </c>
      <c r="AL38" s="529">
        <v>2828</v>
      </c>
      <c r="AM38" s="529">
        <v>3600</v>
      </c>
      <c r="AN38" s="529">
        <v>4660</v>
      </c>
      <c r="AO38" s="529">
        <v>5415</v>
      </c>
      <c r="AP38" s="167">
        <v>5680</v>
      </c>
      <c r="AQ38" s="166">
        <f t="shared" ref="AQ38:AQ66" si="67">IF($G38=$AG$21,AG38,0)</f>
        <v>0</v>
      </c>
      <c r="AR38" s="529">
        <f t="shared" ref="AR38:AR66" si="68">IF($G38=$AH$21,AH38,0)</f>
        <v>0</v>
      </c>
      <c r="AS38" s="529">
        <f t="shared" ref="AS38:AS66" si="69">IF($G38=$AI$21,AI38,0)</f>
        <v>1710</v>
      </c>
      <c r="AT38" s="529">
        <f t="shared" ref="AT38:AT66" si="70">IF($G38=$AJ$21,AJ38,0)</f>
        <v>0</v>
      </c>
      <c r="AU38" s="529">
        <f t="shared" ref="AU38:AU66" si="71">IF($G38=$AK$21,AK38,0)</f>
        <v>0</v>
      </c>
      <c r="AV38" s="529">
        <f t="shared" ref="AV38:AV66" si="72">IF($G38=$AL$21,AL38,0)</f>
        <v>0</v>
      </c>
      <c r="AW38" s="529">
        <f t="shared" ref="AW38:AW66" si="73">IF($G38=$AM$21,AM38,0)</f>
        <v>0</v>
      </c>
      <c r="AX38" s="529">
        <f t="shared" ref="AX38:AX66" si="74">IF($G38=$AN$21,AN38,0)</f>
        <v>0</v>
      </c>
      <c r="AY38" s="529">
        <f t="shared" ref="AY38:AY66" si="75">IF($G38=$AO$21,AO38,0)</f>
        <v>0</v>
      </c>
      <c r="AZ38" s="167">
        <f t="shared" ref="AZ38:AZ66" si="76">IF($G38=$AP$21,AP38,0)</f>
        <v>0</v>
      </c>
      <c r="BA38" s="87"/>
      <c r="BB38" s="87"/>
      <c r="BC38" s="87"/>
      <c r="BD38" s="87"/>
      <c r="BE38" s="87"/>
      <c r="BF38" s="87"/>
      <c r="BG38" s="87"/>
      <c r="BH38" s="87"/>
      <c r="BI38" s="87"/>
      <c r="BJ38" s="87"/>
      <c r="BK38" s="87"/>
      <c r="BL38" s="87"/>
      <c r="BM38" s="87"/>
      <c r="BN38" s="87"/>
      <c r="BO38" s="87"/>
      <c r="BP38" s="87"/>
      <c r="BQ38" s="87"/>
      <c r="BR38" s="87"/>
      <c r="BS38" s="87"/>
      <c r="BT38" s="87"/>
      <c r="BU38" s="87"/>
    </row>
    <row r="39" spans="1:73" customFormat="1" ht="15">
      <c r="A39" s="105"/>
      <c r="B39" s="530"/>
      <c r="C39" s="531" t="s">
        <v>96</v>
      </c>
      <c r="D39" s="525">
        <v>18.652999999999999</v>
      </c>
      <c r="E39" s="525">
        <v>16.61</v>
      </c>
      <c r="F39" s="532">
        <f t="shared" si="64"/>
        <v>2.25</v>
      </c>
      <c r="G39" s="530">
        <v>1200</v>
      </c>
      <c r="H39" s="533">
        <v>1625</v>
      </c>
      <c r="I39" s="533">
        <v>1625</v>
      </c>
      <c r="J39" s="168"/>
      <c r="K39" s="169">
        <v>450</v>
      </c>
      <c r="L39" s="170">
        <f t="shared" si="51"/>
        <v>2.5434000000000001</v>
      </c>
      <c r="M39" s="532">
        <f t="shared" si="66"/>
        <v>2.5457142857142858</v>
      </c>
      <c r="N39" s="171">
        <f t="shared" si="65"/>
        <v>2.2628571428571429</v>
      </c>
      <c r="O39" s="141"/>
      <c r="P39" s="172">
        <f t="shared" si="53"/>
        <v>0</v>
      </c>
      <c r="Q39" s="87"/>
      <c r="R39" s="87"/>
      <c r="S39" s="87"/>
      <c r="T39" s="87"/>
      <c r="U39" s="87"/>
      <c r="V39" s="87"/>
      <c r="W39" s="87"/>
      <c r="X39" s="87"/>
      <c r="Y39" s="87"/>
      <c r="Z39" s="87"/>
      <c r="AA39" s="87"/>
      <c r="AB39" s="87"/>
      <c r="AC39" s="87"/>
      <c r="AD39" s="87"/>
      <c r="AE39" s="87"/>
      <c r="AF39" s="87"/>
      <c r="AG39" s="166">
        <v>0</v>
      </c>
      <c r="AH39" s="529">
        <v>0</v>
      </c>
      <c r="AI39" s="529">
        <v>1710</v>
      </c>
      <c r="AJ39" s="529">
        <v>2065</v>
      </c>
      <c r="AK39" s="529">
        <v>2565</v>
      </c>
      <c r="AL39" s="529">
        <v>2828</v>
      </c>
      <c r="AM39" s="529">
        <v>3600</v>
      </c>
      <c r="AN39" s="529">
        <v>4660</v>
      </c>
      <c r="AO39" s="529">
        <v>5415</v>
      </c>
      <c r="AP39" s="167">
        <v>5680</v>
      </c>
      <c r="AQ39" s="166">
        <f t="shared" si="67"/>
        <v>0</v>
      </c>
      <c r="AR39" s="529">
        <f t="shared" si="68"/>
        <v>0</v>
      </c>
      <c r="AS39" s="529">
        <f t="shared" si="69"/>
        <v>1710</v>
      </c>
      <c r="AT39" s="529">
        <f t="shared" si="70"/>
        <v>0</v>
      </c>
      <c r="AU39" s="529">
        <f t="shared" si="71"/>
        <v>0</v>
      </c>
      <c r="AV39" s="529">
        <f t="shared" si="72"/>
        <v>0</v>
      </c>
      <c r="AW39" s="529">
        <f t="shared" si="73"/>
        <v>0</v>
      </c>
      <c r="AX39" s="529">
        <f t="shared" si="74"/>
        <v>0</v>
      </c>
      <c r="AY39" s="529">
        <f t="shared" si="75"/>
        <v>0</v>
      </c>
      <c r="AZ39" s="167">
        <f t="shared" si="76"/>
        <v>0</v>
      </c>
      <c r="BA39" s="87"/>
      <c r="BB39" s="87"/>
      <c r="BC39" s="87"/>
      <c r="BD39" s="87"/>
      <c r="BE39" s="87"/>
      <c r="BF39" s="87"/>
      <c r="BG39" s="87"/>
      <c r="BH39" s="87"/>
      <c r="BI39" s="87"/>
      <c r="BJ39" s="87"/>
      <c r="BK39" s="87"/>
      <c r="BL39" s="87"/>
      <c r="BM39" s="87"/>
      <c r="BN39" s="87"/>
      <c r="BO39" s="87"/>
      <c r="BP39" s="87"/>
      <c r="BQ39" s="87"/>
      <c r="BR39" s="87"/>
      <c r="BS39" s="87"/>
      <c r="BT39" s="87"/>
      <c r="BU39" s="87"/>
    </row>
    <row r="40" spans="1:73" customFormat="1" ht="15">
      <c r="A40" s="105"/>
      <c r="B40" s="530"/>
      <c r="C40" s="531" t="s">
        <v>97</v>
      </c>
      <c r="D40" s="525">
        <v>18.652999999999999</v>
      </c>
      <c r="E40" s="525">
        <v>16.61</v>
      </c>
      <c r="F40" s="532">
        <f t="shared" si="64"/>
        <v>2.25</v>
      </c>
      <c r="G40" s="530">
        <v>1200</v>
      </c>
      <c r="H40" s="533">
        <v>1625</v>
      </c>
      <c r="I40" s="533">
        <v>1625</v>
      </c>
      <c r="J40" s="168"/>
      <c r="K40" s="169">
        <v>450</v>
      </c>
      <c r="L40" s="170">
        <f t="shared" si="51"/>
        <v>2.5434000000000001</v>
      </c>
      <c r="M40" s="532">
        <f t="shared" si="66"/>
        <v>2.5457142857142858</v>
      </c>
      <c r="N40" s="171">
        <f t="shared" si="65"/>
        <v>2.2628571428571429</v>
      </c>
      <c r="O40" s="141"/>
      <c r="P40" s="172">
        <f t="shared" si="53"/>
        <v>0</v>
      </c>
      <c r="Q40" s="87"/>
      <c r="R40" s="87"/>
      <c r="S40" s="87"/>
      <c r="T40" s="87"/>
      <c r="U40" s="87"/>
      <c r="V40" s="87"/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166">
        <v>0</v>
      </c>
      <c r="AH40" s="529">
        <v>0</v>
      </c>
      <c r="AI40" s="529">
        <v>1710</v>
      </c>
      <c r="AJ40" s="529">
        <v>2065</v>
      </c>
      <c r="AK40" s="529">
        <v>2565</v>
      </c>
      <c r="AL40" s="529">
        <v>2828</v>
      </c>
      <c r="AM40" s="529">
        <v>3600</v>
      </c>
      <c r="AN40" s="529">
        <v>4660</v>
      </c>
      <c r="AO40" s="529">
        <v>5415</v>
      </c>
      <c r="AP40" s="167">
        <v>5680</v>
      </c>
      <c r="AQ40" s="166">
        <f t="shared" si="67"/>
        <v>0</v>
      </c>
      <c r="AR40" s="529">
        <f t="shared" si="68"/>
        <v>0</v>
      </c>
      <c r="AS40" s="529">
        <f t="shared" si="69"/>
        <v>1710</v>
      </c>
      <c r="AT40" s="529">
        <f t="shared" si="70"/>
        <v>0</v>
      </c>
      <c r="AU40" s="529">
        <f t="shared" si="71"/>
        <v>0</v>
      </c>
      <c r="AV40" s="529">
        <f t="shared" si="72"/>
        <v>0</v>
      </c>
      <c r="AW40" s="529">
        <f t="shared" si="73"/>
        <v>0</v>
      </c>
      <c r="AX40" s="529">
        <f t="shared" si="74"/>
        <v>0</v>
      </c>
      <c r="AY40" s="529">
        <f t="shared" si="75"/>
        <v>0</v>
      </c>
      <c r="AZ40" s="167">
        <f t="shared" si="76"/>
        <v>0</v>
      </c>
      <c r="BA40" s="87"/>
      <c r="BB40" s="87"/>
      <c r="BC40" s="87"/>
      <c r="BD40" s="87"/>
      <c r="BE40" s="87"/>
      <c r="BF40" s="87"/>
      <c r="BG40" s="87"/>
      <c r="BH40" s="87"/>
      <c r="BI40" s="87"/>
      <c r="BJ40" s="87"/>
      <c r="BK40" s="87"/>
      <c r="BL40" s="87"/>
      <c r="BM40" s="87"/>
      <c r="BN40" s="87"/>
      <c r="BO40" s="87"/>
      <c r="BP40" s="87"/>
      <c r="BQ40" s="87"/>
      <c r="BR40" s="87"/>
      <c r="BS40" s="87"/>
      <c r="BT40" s="87"/>
      <c r="BU40" s="87"/>
    </row>
    <row r="41" spans="1:73" customFormat="1" ht="15">
      <c r="A41" s="105"/>
      <c r="B41" s="530"/>
      <c r="C41" s="531" t="s">
        <v>98</v>
      </c>
      <c r="D41" s="525">
        <v>18.652999999999999</v>
      </c>
      <c r="E41" s="525">
        <v>16.61</v>
      </c>
      <c r="F41" s="532">
        <f t="shared" si="64"/>
        <v>2.25</v>
      </c>
      <c r="G41" s="530">
        <v>1200</v>
      </c>
      <c r="H41" s="533">
        <v>1625</v>
      </c>
      <c r="I41" s="533">
        <v>1625</v>
      </c>
      <c r="J41" s="168"/>
      <c r="K41" s="169">
        <v>450</v>
      </c>
      <c r="L41" s="170">
        <f t="shared" si="51"/>
        <v>2.5434000000000001</v>
      </c>
      <c r="M41" s="532">
        <f t="shared" si="66"/>
        <v>2.5457142857142858</v>
      </c>
      <c r="N41" s="171">
        <f t="shared" si="65"/>
        <v>2.2628571428571429</v>
      </c>
      <c r="O41" s="141"/>
      <c r="P41" s="172">
        <f t="shared" si="53"/>
        <v>0</v>
      </c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166">
        <v>0</v>
      </c>
      <c r="AH41" s="529">
        <v>0</v>
      </c>
      <c r="AI41" s="529">
        <v>1710</v>
      </c>
      <c r="AJ41" s="529">
        <v>2065</v>
      </c>
      <c r="AK41" s="529">
        <v>2565</v>
      </c>
      <c r="AL41" s="529">
        <v>2828</v>
      </c>
      <c r="AM41" s="529">
        <v>3600</v>
      </c>
      <c r="AN41" s="529">
        <v>4660</v>
      </c>
      <c r="AO41" s="529">
        <v>5415</v>
      </c>
      <c r="AP41" s="167">
        <v>5680</v>
      </c>
      <c r="AQ41" s="166">
        <f t="shared" si="67"/>
        <v>0</v>
      </c>
      <c r="AR41" s="529">
        <f t="shared" si="68"/>
        <v>0</v>
      </c>
      <c r="AS41" s="529">
        <f t="shared" si="69"/>
        <v>1710</v>
      </c>
      <c r="AT41" s="529">
        <f t="shared" si="70"/>
        <v>0</v>
      </c>
      <c r="AU41" s="529">
        <f t="shared" si="71"/>
        <v>0</v>
      </c>
      <c r="AV41" s="529">
        <f t="shared" si="72"/>
        <v>0</v>
      </c>
      <c r="AW41" s="529">
        <f t="shared" si="73"/>
        <v>0</v>
      </c>
      <c r="AX41" s="529">
        <f t="shared" si="74"/>
        <v>0</v>
      </c>
      <c r="AY41" s="529">
        <f t="shared" si="75"/>
        <v>0</v>
      </c>
      <c r="AZ41" s="167">
        <f t="shared" si="76"/>
        <v>0</v>
      </c>
      <c r="BA41" s="87"/>
      <c r="BB41" s="87"/>
      <c r="BC41" s="87"/>
      <c r="BD41" s="87"/>
      <c r="BE41" s="87"/>
      <c r="BF41" s="87"/>
      <c r="BG41" s="87"/>
      <c r="BH41" s="87"/>
      <c r="BI41" s="87"/>
      <c r="BJ41" s="87"/>
      <c r="BK41" s="87"/>
      <c r="BL41" s="87"/>
      <c r="BM41" s="87"/>
      <c r="BN41" s="87"/>
      <c r="BO41" s="87"/>
      <c r="BP41" s="87"/>
      <c r="BQ41" s="87"/>
      <c r="BR41" s="87"/>
      <c r="BS41" s="87"/>
      <c r="BT41" s="87"/>
      <c r="BU41" s="87"/>
    </row>
    <row r="42" spans="1:73" customFormat="1" ht="15">
      <c r="A42" s="105"/>
      <c r="B42" s="530"/>
      <c r="C42" s="531" t="s">
        <v>99</v>
      </c>
      <c r="D42" s="525">
        <v>18.652999999999999</v>
      </c>
      <c r="E42" s="525">
        <v>16.61</v>
      </c>
      <c r="F42" s="532">
        <f t="shared" si="64"/>
        <v>2.25</v>
      </c>
      <c r="G42" s="530">
        <v>1200</v>
      </c>
      <c r="H42" s="533">
        <v>1625</v>
      </c>
      <c r="I42" s="533">
        <v>1625</v>
      </c>
      <c r="J42" s="168"/>
      <c r="K42" s="169">
        <v>450</v>
      </c>
      <c r="L42" s="170">
        <f t="shared" si="51"/>
        <v>2.5434000000000001</v>
      </c>
      <c r="M42" s="532">
        <f t="shared" si="66"/>
        <v>2.5457142857142858</v>
      </c>
      <c r="N42" s="171">
        <f t="shared" si="65"/>
        <v>2.2628571428571429</v>
      </c>
      <c r="O42" s="141"/>
      <c r="P42" s="172">
        <f t="shared" si="53"/>
        <v>0</v>
      </c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7"/>
      <c r="AB42" s="87"/>
      <c r="AC42" s="87"/>
      <c r="AD42" s="87"/>
      <c r="AE42" s="87"/>
      <c r="AF42" s="87"/>
      <c r="AG42" s="166">
        <v>0</v>
      </c>
      <c r="AH42" s="529">
        <v>0</v>
      </c>
      <c r="AI42" s="529">
        <v>1710</v>
      </c>
      <c r="AJ42" s="529">
        <v>2065</v>
      </c>
      <c r="AK42" s="529">
        <v>2565</v>
      </c>
      <c r="AL42" s="529">
        <v>2828</v>
      </c>
      <c r="AM42" s="529">
        <v>3600</v>
      </c>
      <c r="AN42" s="529">
        <v>4660</v>
      </c>
      <c r="AO42" s="529">
        <v>5415</v>
      </c>
      <c r="AP42" s="167">
        <v>5680</v>
      </c>
      <c r="AQ42" s="166">
        <f t="shared" si="67"/>
        <v>0</v>
      </c>
      <c r="AR42" s="529">
        <f t="shared" si="68"/>
        <v>0</v>
      </c>
      <c r="AS42" s="529">
        <f t="shared" si="69"/>
        <v>1710</v>
      </c>
      <c r="AT42" s="529">
        <f t="shared" si="70"/>
        <v>0</v>
      </c>
      <c r="AU42" s="529">
        <f t="shared" si="71"/>
        <v>0</v>
      </c>
      <c r="AV42" s="529">
        <f t="shared" si="72"/>
        <v>0</v>
      </c>
      <c r="AW42" s="529">
        <f t="shared" si="73"/>
        <v>0</v>
      </c>
      <c r="AX42" s="529">
        <f t="shared" si="74"/>
        <v>0</v>
      </c>
      <c r="AY42" s="529">
        <f t="shared" si="75"/>
        <v>0</v>
      </c>
      <c r="AZ42" s="167">
        <f t="shared" si="76"/>
        <v>0</v>
      </c>
      <c r="BA42" s="87"/>
      <c r="BB42" s="87"/>
      <c r="BC42" s="87"/>
      <c r="BD42" s="87"/>
      <c r="BE42" s="87"/>
      <c r="BF42" s="87"/>
      <c r="BG42" s="87"/>
      <c r="BH42" s="87"/>
      <c r="BI42" s="87"/>
      <c r="BJ42" s="87"/>
      <c r="BK42" s="87"/>
      <c r="BL42" s="87"/>
      <c r="BM42" s="87"/>
      <c r="BN42" s="87"/>
      <c r="BO42" s="87"/>
      <c r="BP42" s="87"/>
      <c r="BQ42" s="87"/>
      <c r="BR42" s="87"/>
      <c r="BS42" s="87"/>
      <c r="BT42" s="87"/>
      <c r="BU42" s="87"/>
    </row>
    <row r="43" spans="1:73" customFormat="1" ht="15">
      <c r="A43" s="105"/>
      <c r="B43" s="531"/>
      <c r="C43" s="531" t="s">
        <v>100</v>
      </c>
      <c r="D43" s="525">
        <v>18.652999999999999</v>
      </c>
      <c r="E43" s="525">
        <v>16.61</v>
      </c>
      <c r="F43" s="532">
        <f t="shared" si="64"/>
        <v>2.25</v>
      </c>
      <c r="G43" s="530">
        <v>1200</v>
      </c>
      <c r="H43" s="533">
        <v>1625</v>
      </c>
      <c r="I43" s="533">
        <v>1625</v>
      </c>
      <c r="J43" s="168"/>
      <c r="K43" s="169">
        <v>450</v>
      </c>
      <c r="L43" s="170">
        <f t="shared" si="51"/>
        <v>2.5434000000000001</v>
      </c>
      <c r="M43" s="532">
        <f t="shared" si="66"/>
        <v>2.5457142857142858</v>
      </c>
      <c r="N43" s="171">
        <f t="shared" si="65"/>
        <v>2.2628571428571429</v>
      </c>
      <c r="O43" s="141"/>
      <c r="P43" s="172">
        <f t="shared" si="53"/>
        <v>0</v>
      </c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/>
      <c r="AG43" s="166">
        <v>0</v>
      </c>
      <c r="AH43" s="529">
        <v>0</v>
      </c>
      <c r="AI43" s="529">
        <v>1710</v>
      </c>
      <c r="AJ43" s="529">
        <v>2065</v>
      </c>
      <c r="AK43" s="529">
        <v>2565</v>
      </c>
      <c r="AL43" s="529">
        <v>2828</v>
      </c>
      <c r="AM43" s="529">
        <v>3600</v>
      </c>
      <c r="AN43" s="529">
        <v>4660</v>
      </c>
      <c r="AO43" s="529">
        <v>5415</v>
      </c>
      <c r="AP43" s="167">
        <v>5680</v>
      </c>
      <c r="AQ43" s="166">
        <f t="shared" si="67"/>
        <v>0</v>
      </c>
      <c r="AR43" s="529">
        <f t="shared" si="68"/>
        <v>0</v>
      </c>
      <c r="AS43" s="529">
        <f t="shared" si="69"/>
        <v>1710</v>
      </c>
      <c r="AT43" s="529">
        <f t="shared" si="70"/>
        <v>0</v>
      </c>
      <c r="AU43" s="529">
        <f t="shared" si="71"/>
        <v>0</v>
      </c>
      <c r="AV43" s="529">
        <f t="shared" si="72"/>
        <v>0</v>
      </c>
      <c r="AW43" s="529">
        <f t="shared" si="73"/>
        <v>0</v>
      </c>
      <c r="AX43" s="529">
        <f t="shared" si="74"/>
        <v>0</v>
      </c>
      <c r="AY43" s="529">
        <f t="shared" si="75"/>
        <v>0</v>
      </c>
      <c r="AZ43" s="167">
        <f t="shared" si="76"/>
        <v>0</v>
      </c>
      <c r="BA43" s="87"/>
      <c r="BB43" s="87"/>
      <c r="BC43" s="87"/>
      <c r="BD43" s="87"/>
      <c r="BE43" s="87"/>
      <c r="BF43" s="87"/>
      <c r="BG43" s="87"/>
      <c r="BH43" s="87"/>
      <c r="BI43" s="87"/>
      <c r="BJ43" s="87"/>
      <c r="BK43" s="87"/>
      <c r="BL43" s="87"/>
      <c r="BM43" s="87"/>
      <c r="BN43" s="87"/>
      <c r="BO43" s="87"/>
      <c r="BP43" s="87"/>
      <c r="BQ43" s="87"/>
      <c r="BR43" s="87"/>
      <c r="BS43" s="87"/>
      <c r="BT43" s="87"/>
      <c r="BU43" s="87"/>
    </row>
    <row r="44" spans="1:73" customFormat="1" ht="15">
      <c r="A44" s="105"/>
      <c r="B44" s="530"/>
      <c r="C44" s="531" t="s">
        <v>101</v>
      </c>
      <c r="D44" s="525">
        <v>18.652999999999999</v>
      </c>
      <c r="E44" s="525">
        <v>16.61</v>
      </c>
      <c r="F44" s="532">
        <f t="shared" si="64"/>
        <v>2.25</v>
      </c>
      <c r="G44" s="530">
        <v>1200</v>
      </c>
      <c r="H44" s="533">
        <v>1625</v>
      </c>
      <c r="I44" s="533">
        <v>1625</v>
      </c>
      <c r="J44" s="168"/>
      <c r="K44" s="169">
        <v>450</v>
      </c>
      <c r="L44" s="170">
        <f t="shared" si="51"/>
        <v>2.5434000000000001</v>
      </c>
      <c r="M44" s="532">
        <f t="shared" si="66"/>
        <v>2.5457142857142858</v>
      </c>
      <c r="N44" s="171">
        <f t="shared" si="65"/>
        <v>2.2628571428571429</v>
      </c>
      <c r="O44" s="141"/>
      <c r="P44" s="172">
        <f t="shared" si="53"/>
        <v>0</v>
      </c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/>
      <c r="AC44" s="87"/>
      <c r="AD44" s="87"/>
      <c r="AE44" s="87"/>
      <c r="AF44" s="87"/>
      <c r="AG44" s="166">
        <v>0</v>
      </c>
      <c r="AH44" s="529">
        <v>0</v>
      </c>
      <c r="AI44" s="529">
        <v>1710</v>
      </c>
      <c r="AJ44" s="529">
        <v>2065</v>
      </c>
      <c r="AK44" s="529">
        <v>2565</v>
      </c>
      <c r="AL44" s="529">
        <v>2828</v>
      </c>
      <c r="AM44" s="529">
        <v>3600</v>
      </c>
      <c r="AN44" s="529">
        <v>4660</v>
      </c>
      <c r="AO44" s="529">
        <v>5415</v>
      </c>
      <c r="AP44" s="167">
        <v>5680</v>
      </c>
      <c r="AQ44" s="166">
        <f t="shared" si="67"/>
        <v>0</v>
      </c>
      <c r="AR44" s="529">
        <f t="shared" si="68"/>
        <v>0</v>
      </c>
      <c r="AS44" s="529">
        <f t="shared" si="69"/>
        <v>1710</v>
      </c>
      <c r="AT44" s="529">
        <f t="shared" si="70"/>
        <v>0</v>
      </c>
      <c r="AU44" s="529">
        <f t="shared" si="71"/>
        <v>0</v>
      </c>
      <c r="AV44" s="529">
        <f t="shared" si="72"/>
        <v>0</v>
      </c>
      <c r="AW44" s="529">
        <f t="shared" si="73"/>
        <v>0</v>
      </c>
      <c r="AX44" s="529">
        <f t="shared" si="74"/>
        <v>0</v>
      </c>
      <c r="AY44" s="529">
        <f t="shared" si="75"/>
        <v>0</v>
      </c>
      <c r="AZ44" s="167">
        <f t="shared" si="76"/>
        <v>0</v>
      </c>
      <c r="BA44" s="87"/>
      <c r="BB44" s="87"/>
      <c r="BC44" s="87"/>
      <c r="BD44" s="87"/>
      <c r="BE44" s="87"/>
      <c r="BF44" s="87"/>
      <c r="BG44" s="87"/>
      <c r="BH44" s="87"/>
      <c r="BI44" s="87"/>
      <c r="BJ44" s="87"/>
      <c r="BK44" s="87"/>
      <c r="BL44" s="87"/>
      <c r="BM44" s="87"/>
      <c r="BN44" s="87"/>
      <c r="BO44" s="87"/>
      <c r="BP44" s="87"/>
      <c r="BQ44" s="87"/>
      <c r="BR44" s="87"/>
      <c r="BS44" s="87"/>
      <c r="BT44" s="87"/>
      <c r="BU44" s="87"/>
    </row>
    <row r="45" spans="1:73" customFormat="1" ht="15">
      <c r="A45" s="105"/>
      <c r="B45" s="530"/>
      <c r="C45" s="531" t="s">
        <v>102</v>
      </c>
      <c r="D45" s="525">
        <v>18.652999999999999</v>
      </c>
      <c r="E45" s="525">
        <v>16.61</v>
      </c>
      <c r="F45" s="532">
        <f t="shared" si="64"/>
        <v>2.25</v>
      </c>
      <c r="G45" s="530">
        <v>1200</v>
      </c>
      <c r="H45" s="533">
        <v>1625</v>
      </c>
      <c r="I45" s="533">
        <v>1625</v>
      </c>
      <c r="J45" s="168"/>
      <c r="K45" s="169">
        <v>450</v>
      </c>
      <c r="L45" s="170">
        <f t="shared" si="51"/>
        <v>2.5434000000000001</v>
      </c>
      <c r="M45" s="532">
        <f t="shared" si="66"/>
        <v>2.5457142857142858</v>
      </c>
      <c r="N45" s="171">
        <f t="shared" si="65"/>
        <v>2.2628571428571429</v>
      </c>
      <c r="O45" s="141"/>
      <c r="P45" s="172">
        <f t="shared" si="53"/>
        <v>0</v>
      </c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7"/>
      <c r="AD45" s="87"/>
      <c r="AE45" s="87"/>
      <c r="AF45" s="87"/>
      <c r="AG45" s="166">
        <v>0</v>
      </c>
      <c r="AH45" s="529">
        <v>0</v>
      </c>
      <c r="AI45" s="529">
        <v>1710</v>
      </c>
      <c r="AJ45" s="529">
        <v>2065</v>
      </c>
      <c r="AK45" s="529">
        <v>2565</v>
      </c>
      <c r="AL45" s="529">
        <v>2828</v>
      </c>
      <c r="AM45" s="529">
        <v>3600</v>
      </c>
      <c r="AN45" s="529">
        <v>4660</v>
      </c>
      <c r="AO45" s="529">
        <v>5415</v>
      </c>
      <c r="AP45" s="167">
        <v>5680</v>
      </c>
      <c r="AQ45" s="166">
        <f t="shared" si="67"/>
        <v>0</v>
      </c>
      <c r="AR45" s="529">
        <f t="shared" si="68"/>
        <v>0</v>
      </c>
      <c r="AS45" s="529">
        <f t="shared" si="69"/>
        <v>1710</v>
      </c>
      <c r="AT45" s="529">
        <f t="shared" si="70"/>
        <v>0</v>
      </c>
      <c r="AU45" s="529">
        <f t="shared" si="71"/>
        <v>0</v>
      </c>
      <c r="AV45" s="529">
        <f t="shared" si="72"/>
        <v>0</v>
      </c>
      <c r="AW45" s="529">
        <f t="shared" si="73"/>
        <v>0</v>
      </c>
      <c r="AX45" s="529">
        <f t="shared" si="74"/>
        <v>0</v>
      </c>
      <c r="AY45" s="529">
        <f t="shared" si="75"/>
        <v>0</v>
      </c>
      <c r="AZ45" s="167">
        <f t="shared" si="76"/>
        <v>0</v>
      </c>
      <c r="BA45" s="87"/>
      <c r="BB45" s="87"/>
      <c r="BC45" s="87"/>
      <c r="BD45" s="87"/>
      <c r="BE45" s="87"/>
      <c r="BF45" s="87"/>
      <c r="BG45" s="87"/>
      <c r="BH45" s="87"/>
      <c r="BI45" s="87"/>
      <c r="BJ45" s="87"/>
      <c r="BK45" s="87"/>
      <c r="BL45" s="87"/>
      <c r="BM45" s="87"/>
      <c r="BN45" s="87"/>
      <c r="BO45" s="87"/>
      <c r="BP45" s="87"/>
      <c r="BQ45" s="87"/>
      <c r="BR45" s="87"/>
      <c r="BS45" s="87"/>
      <c r="BT45" s="87"/>
      <c r="BU45" s="87"/>
    </row>
    <row r="46" spans="1:73" customFormat="1" ht="15">
      <c r="A46" s="105"/>
      <c r="B46" s="530"/>
      <c r="C46" s="531" t="s">
        <v>103</v>
      </c>
      <c r="D46" s="525">
        <v>18.652999999999999</v>
      </c>
      <c r="E46" s="525">
        <v>16.61</v>
      </c>
      <c r="F46" s="532">
        <f t="shared" si="64"/>
        <v>2.25</v>
      </c>
      <c r="G46" s="530">
        <v>1200</v>
      </c>
      <c r="H46" s="533">
        <v>1625</v>
      </c>
      <c r="I46" s="533">
        <v>1625</v>
      </c>
      <c r="J46" s="168"/>
      <c r="K46" s="169">
        <v>450</v>
      </c>
      <c r="L46" s="170">
        <f t="shared" si="51"/>
        <v>2.5434000000000001</v>
      </c>
      <c r="M46" s="532">
        <f t="shared" si="66"/>
        <v>2.5457142857142858</v>
      </c>
      <c r="N46" s="171">
        <f t="shared" si="65"/>
        <v>2.2628571428571429</v>
      </c>
      <c r="O46" s="141"/>
      <c r="P46" s="172">
        <f t="shared" si="53"/>
        <v>0</v>
      </c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7"/>
      <c r="AC46" s="87"/>
      <c r="AD46" s="87"/>
      <c r="AE46" s="87"/>
      <c r="AF46" s="87"/>
      <c r="AG46" s="166">
        <v>0</v>
      </c>
      <c r="AH46" s="529">
        <v>0</v>
      </c>
      <c r="AI46" s="529">
        <v>1710</v>
      </c>
      <c r="AJ46" s="529">
        <v>2065</v>
      </c>
      <c r="AK46" s="529">
        <v>2565</v>
      </c>
      <c r="AL46" s="529">
        <v>2828</v>
      </c>
      <c r="AM46" s="529">
        <v>3600</v>
      </c>
      <c r="AN46" s="529">
        <v>4660</v>
      </c>
      <c r="AO46" s="529">
        <v>5415</v>
      </c>
      <c r="AP46" s="167">
        <v>5680</v>
      </c>
      <c r="AQ46" s="166">
        <f t="shared" si="67"/>
        <v>0</v>
      </c>
      <c r="AR46" s="529">
        <f t="shared" si="68"/>
        <v>0</v>
      </c>
      <c r="AS46" s="529">
        <f t="shared" si="69"/>
        <v>1710</v>
      </c>
      <c r="AT46" s="529">
        <f t="shared" si="70"/>
        <v>0</v>
      </c>
      <c r="AU46" s="529">
        <f t="shared" si="71"/>
        <v>0</v>
      </c>
      <c r="AV46" s="529">
        <f t="shared" si="72"/>
        <v>0</v>
      </c>
      <c r="AW46" s="529">
        <f t="shared" si="73"/>
        <v>0</v>
      </c>
      <c r="AX46" s="529">
        <f t="shared" si="74"/>
        <v>0</v>
      </c>
      <c r="AY46" s="529">
        <f t="shared" si="75"/>
        <v>0</v>
      </c>
      <c r="AZ46" s="167">
        <f t="shared" si="76"/>
        <v>0</v>
      </c>
      <c r="BA46" s="87"/>
      <c r="BB46" s="87"/>
      <c r="BC46" s="87"/>
      <c r="BD46" s="87"/>
      <c r="BE46" s="87"/>
      <c r="BF46" s="87"/>
      <c r="BG46" s="87"/>
      <c r="BH46" s="87"/>
      <c r="BI46" s="87"/>
      <c r="BJ46" s="87"/>
      <c r="BK46" s="87"/>
      <c r="BL46" s="87"/>
      <c r="BM46" s="87"/>
      <c r="BN46" s="87"/>
      <c r="BO46" s="87"/>
      <c r="BP46" s="87"/>
      <c r="BQ46" s="87"/>
      <c r="BR46" s="87"/>
      <c r="BS46" s="87"/>
      <c r="BT46" s="87"/>
      <c r="BU46" s="87"/>
    </row>
    <row r="47" spans="1:73" customFormat="1" ht="15">
      <c r="A47" s="105"/>
      <c r="B47" s="530"/>
      <c r="C47" s="531" t="s">
        <v>104</v>
      </c>
      <c r="D47" s="525">
        <v>18.652999999999999</v>
      </c>
      <c r="E47" s="525">
        <v>16.61</v>
      </c>
      <c r="F47" s="532">
        <f t="shared" si="64"/>
        <v>2.25</v>
      </c>
      <c r="G47" s="530">
        <v>1200</v>
      </c>
      <c r="H47" s="533">
        <v>1625</v>
      </c>
      <c r="I47" s="533">
        <v>1625</v>
      </c>
      <c r="J47" s="168"/>
      <c r="K47" s="169">
        <v>450</v>
      </c>
      <c r="L47" s="170">
        <f t="shared" si="51"/>
        <v>2.5434000000000001</v>
      </c>
      <c r="M47" s="532">
        <f t="shared" si="66"/>
        <v>2.5457142857142858</v>
      </c>
      <c r="N47" s="171">
        <f t="shared" si="65"/>
        <v>2.2628571428571429</v>
      </c>
      <c r="O47" s="141"/>
      <c r="P47" s="172">
        <f t="shared" si="53"/>
        <v>0</v>
      </c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7"/>
      <c r="AC47" s="87"/>
      <c r="AD47" s="87"/>
      <c r="AE47" s="87"/>
      <c r="AF47" s="87"/>
      <c r="AG47" s="166">
        <v>0</v>
      </c>
      <c r="AH47" s="529">
        <v>0</v>
      </c>
      <c r="AI47" s="529">
        <v>1710</v>
      </c>
      <c r="AJ47" s="529">
        <v>2065</v>
      </c>
      <c r="AK47" s="529">
        <v>2565</v>
      </c>
      <c r="AL47" s="529">
        <v>2828</v>
      </c>
      <c r="AM47" s="529">
        <v>3600</v>
      </c>
      <c r="AN47" s="529">
        <v>4660</v>
      </c>
      <c r="AO47" s="529">
        <v>5415</v>
      </c>
      <c r="AP47" s="167">
        <v>5680</v>
      </c>
      <c r="AQ47" s="166">
        <f t="shared" si="67"/>
        <v>0</v>
      </c>
      <c r="AR47" s="529">
        <f t="shared" si="68"/>
        <v>0</v>
      </c>
      <c r="AS47" s="529">
        <f t="shared" si="69"/>
        <v>1710</v>
      </c>
      <c r="AT47" s="529">
        <f t="shared" si="70"/>
        <v>0</v>
      </c>
      <c r="AU47" s="529">
        <f t="shared" si="71"/>
        <v>0</v>
      </c>
      <c r="AV47" s="529">
        <f t="shared" si="72"/>
        <v>0</v>
      </c>
      <c r="AW47" s="529">
        <f t="shared" si="73"/>
        <v>0</v>
      </c>
      <c r="AX47" s="529">
        <f t="shared" si="74"/>
        <v>0</v>
      </c>
      <c r="AY47" s="529">
        <f t="shared" si="75"/>
        <v>0</v>
      </c>
      <c r="AZ47" s="167">
        <f t="shared" si="76"/>
        <v>0</v>
      </c>
      <c r="BA47" s="87"/>
      <c r="BB47" s="87"/>
      <c r="BC47" s="87"/>
      <c r="BD47" s="87"/>
      <c r="BE47" s="87"/>
      <c r="BF47" s="87"/>
      <c r="BG47" s="87"/>
      <c r="BH47" s="87"/>
      <c r="BI47" s="87"/>
      <c r="BJ47" s="87"/>
      <c r="BK47" s="87"/>
      <c r="BL47" s="87"/>
      <c r="BM47" s="87"/>
      <c r="BN47" s="87"/>
      <c r="BO47" s="87"/>
      <c r="BP47" s="87"/>
      <c r="BQ47" s="87"/>
      <c r="BR47" s="87"/>
      <c r="BS47" s="87"/>
      <c r="BT47" s="87"/>
      <c r="BU47" s="87"/>
    </row>
    <row r="48" spans="1:73" customFormat="1" ht="15">
      <c r="A48" s="105"/>
      <c r="B48" s="530"/>
      <c r="C48" s="531" t="s">
        <v>105</v>
      </c>
      <c r="D48" s="525">
        <v>18.652999999999999</v>
      </c>
      <c r="E48" s="525">
        <v>16.61</v>
      </c>
      <c r="F48" s="532">
        <f t="shared" si="64"/>
        <v>2.25</v>
      </c>
      <c r="G48" s="530">
        <v>1200</v>
      </c>
      <c r="H48" s="533">
        <v>1625</v>
      </c>
      <c r="I48" s="533">
        <v>1625</v>
      </c>
      <c r="J48" s="168"/>
      <c r="K48" s="169">
        <v>450</v>
      </c>
      <c r="L48" s="170">
        <f t="shared" si="51"/>
        <v>2.5434000000000001</v>
      </c>
      <c r="M48" s="532">
        <f t="shared" si="66"/>
        <v>2.5457142857142858</v>
      </c>
      <c r="N48" s="171">
        <f t="shared" si="65"/>
        <v>2.2628571428571429</v>
      </c>
      <c r="O48" s="141"/>
      <c r="P48" s="172">
        <f t="shared" si="53"/>
        <v>0</v>
      </c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  <c r="AD48" s="87"/>
      <c r="AE48" s="87"/>
      <c r="AF48" s="87"/>
      <c r="AG48" s="166">
        <v>0</v>
      </c>
      <c r="AH48" s="529">
        <v>0</v>
      </c>
      <c r="AI48" s="529">
        <v>1710</v>
      </c>
      <c r="AJ48" s="529">
        <v>2065</v>
      </c>
      <c r="AK48" s="529">
        <v>2565</v>
      </c>
      <c r="AL48" s="529">
        <v>2828</v>
      </c>
      <c r="AM48" s="529">
        <v>3600</v>
      </c>
      <c r="AN48" s="529">
        <v>4660</v>
      </c>
      <c r="AO48" s="529">
        <v>5415</v>
      </c>
      <c r="AP48" s="167">
        <v>5680</v>
      </c>
      <c r="AQ48" s="166">
        <f t="shared" si="67"/>
        <v>0</v>
      </c>
      <c r="AR48" s="529">
        <f t="shared" si="68"/>
        <v>0</v>
      </c>
      <c r="AS48" s="529">
        <f t="shared" si="69"/>
        <v>1710</v>
      </c>
      <c r="AT48" s="529">
        <f t="shared" si="70"/>
        <v>0</v>
      </c>
      <c r="AU48" s="529">
        <f t="shared" si="71"/>
        <v>0</v>
      </c>
      <c r="AV48" s="529">
        <f t="shared" si="72"/>
        <v>0</v>
      </c>
      <c r="AW48" s="529">
        <f t="shared" si="73"/>
        <v>0</v>
      </c>
      <c r="AX48" s="529">
        <f t="shared" si="74"/>
        <v>0</v>
      </c>
      <c r="AY48" s="529">
        <f t="shared" si="75"/>
        <v>0</v>
      </c>
      <c r="AZ48" s="167">
        <f t="shared" si="76"/>
        <v>0</v>
      </c>
      <c r="BA48" s="87"/>
      <c r="BB48" s="87"/>
      <c r="BC48" s="87"/>
      <c r="BD48" s="87"/>
      <c r="BE48" s="87"/>
      <c r="BF48" s="87"/>
      <c r="BG48" s="87"/>
      <c r="BH48" s="87"/>
      <c r="BI48" s="87"/>
      <c r="BJ48" s="87"/>
      <c r="BK48" s="87"/>
      <c r="BL48" s="87"/>
      <c r="BM48" s="87"/>
      <c r="BN48" s="87"/>
      <c r="BO48" s="87"/>
      <c r="BP48" s="87"/>
      <c r="BQ48" s="87"/>
      <c r="BR48" s="87"/>
      <c r="BS48" s="87"/>
      <c r="BT48" s="87"/>
      <c r="BU48" s="87"/>
    </row>
    <row r="49" spans="1:73" customFormat="1" ht="15">
      <c r="A49" s="105"/>
      <c r="B49" s="531"/>
      <c r="C49" s="531" t="s">
        <v>106</v>
      </c>
      <c r="D49" s="525">
        <v>18.652999999999999</v>
      </c>
      <c r="E49" s="525">
        <v>16.61</v>
      </c>
      <c r="F49" s="532">
        <f t="shared" si="64"/>
        <v>2.25</v>
      </c>
      <c r="G49" s="530">
        <v>1200</v>
      </c>
      <c r="H49" s="533">
        <v>1625</v>
      </c>
      <c r="I49" s="533">
        <v>1625</v>
      </c>
      <c r="J49" s="168"/>
      <c r="K49" s="169">
        <v>450</v>
      </c>
      <c r="L49" s="170">
        <f t="shared" si="51"/>
        <v>2.5434000000000001</v>
      </c>
      <c r="M49" s="532">
        <f t="shared" si="66"/>
        <v>2.5457142857142858</v>
      </c>
      <c r="N49" s="171">
        <f t="shared" si="65"/>
        <v>2.2628571428571429</v>
      </c>
      <c r="O49" s="141"/>
      <c r="P49" s="172">
        <f t="shared" si="53"/>
        <v>0</v>
      </c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7"/>
      <c r="AC49" s="87"/>
      <c r="AD49" s="87"/>
      <c r="AE49" s="87"/>
      <c r="AF49" s="87"/>
      <c r="AG49" s="166">
        <v>0</v>
      </c>
      <c r="AH49" s="529">
        <v>0</v>
      </c>
      <c r="AI49" s="529">
        <v>1710</v>
      </c>
      <c r="AJ49" s="529">
        <v>2065</v>
      </c>
      <c r="AK49" s="529">
        <v>2565</v>
      </c>
      <c r="AL49" s="529">
        <v>2828</v>
      </c>
      <c r="AM49" s="529">
        <v>3600</v>
      </c>
      <c r="AN49" s="529">
        <v>4660</v>
      </c>
      <c r="AO49" s="529">
        <v>5415</v>
      </c>
      <c r="AP49" s="167">
        <v>5680</v>
      </c>
      <c r="AQ49" s="166">
        <f t="shared" si="67"/>
        <v>0</v>
      </c>
      <c r="AR49" s="529">
        <f t="shared" si="68"/>
        <v>0</v>
      </c>
      <c r="AS49" s="529">
        <f t="shared" si="69"/>
        <v>1710</v>
      </c>
      <c r="AT49" s="529">
        <f t="shared" si="70"/>
        <v>0</v>
      </c>
      <c r="AU49" s="529">
        <f t="shared" si="71"/>
        <v>0</v>
      </c>
      <c r="AV49" s="529">
        <f t="shared" si="72"/>
        <v>0</v>
      </c>
      <c r="AW49" s="529">
        <f t="shared" si="73"/>
        <v>0</v>
      </c>
      <c r="AX49" s="529">
        <f t="shared" si="74"/>
        <v>0</v>
      </c>
      <c r="AY49" s="529">
        <f t="shared" si="75"/>
        <v>0</v>
      </c>
      <c r="AZ49" s="167">
        <f t="shared" si="76"/>
        <v>0</v>
      </c>
      <c r="BA49" s="87"/>
      <c r="BB49" s="87"/>
      <c r="BC49" s="87"/>
      <c r="BD49" s="87"/>
      <c r="BE49" s="87"/>
      <c r="BF49" s="87"/>
      <c r="BG49" s="87"/>
      <c r="BH49" s="87"/>
      <c r="BI49" s="87"/>
      <c r="BJ49" s="87"/>
      <c r="BK49" s="87"/>
      <c r="BL49" s="87"/>
      <c r="BM49" s="87"/>
      <c r="BN49" s="87"/>
      <c r="BO49" s="87"/>
      <c r="BP49" s="87"/>
      <c r="BQ49" s="87"/>
      <c r="BR49" s="87"/>
      <c r="BS49" s="87"/>
      <c r="BT49" s="87"/>
      <c r="BU49" s="87"/>
    </row>
    <row r="50" spans="1:73" customFormat="1" ht="15">
      <c r="A50" s="105"/>
      <c r="B50" s="530"/>
      <c r="C50" s="531" t="s">
        <v>107</v>
      </c>
      <c r="D50" s="525">
        <v>18.652999999999999</v>
      </c>
      <c r="E50" s="525">
        <v>16.61</v>
      </c>
      <c r="F50" s="532">
        <f t="shared" si="64"/>
        <v>2.25</v>
      </c>
      <c r="G50" s="530">
        <v>1200</v>
      </c>
      <c r="H50" s="533">
        <v>1625</v>
      </c>
      <c r="I50" s="533">
        <v>1625</v>
      </c>
      <c r="J50" s="168"/>
      <c r="K50" s="169">
        <v>450</v>
      </c>
      <c r="L50" s="170">
        <f t="shared" si="51"/>
        <v>2.5434000000000001</v>
      </c>
      <c r="M50" s="532">
        <f t="shared" si="66"/>
        <v>2.5457142857142858</v>
      </c>
      <c r="N50" s="171">
        <f t="shared" si="65"/>
        <v>2.2628571428571429</v>
      </c>
      <c r="O50" s="141"/>
      <c r="P50" s="172">
        <f t="shared" si="53"/>
        <v>0</v>
      </c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87"/>
      <c r="AE50" s="87"/>
      <c r="AF50" s="87"/>
      <c r="AG50" s="166">
        <v>0</v>
      </c>
      <c r="AH50" s="529">
        <v>0</v>
      </c>
      <c r="AI50" s="529">
        <v>1710</v>
      </c>
      <c r="AJ50" s="529">
        <v>2065</v>
      </c>
      <c r="AK50" s="529">
        <v>2565</v>
      </c>
      <c r="AL50" s="529">
        <v>2828</v>
      </c>
      <c r="AM50" s="529">
        <v>3600</v>
      </c>
      <c r="AN50" s="529">
        <v>4660</v>
      </c>
      <c r="AO50" s="529">
        <v>5415</v>
      </c>
      <c r="AP50" s="167">
        <v>5680</v>
      </c>
      <c r="AQ50" s="166">
        <f t="shared" si="67"/>
        <v>0</v>
      </c>
      <c r="AR50" s="529">
        <f t="shared" si="68"/>
        <v>0</v>
      </c>
      <c r="AS50" s="529">
        <f t="shared" si="69"/>
        <v>1710</v>
      </c>
      <c r="AT50" s="529">
        <f t="shared" si="70"/>
        <v>0</v>
      </c>
      <c r="AU50" s="529">
        <f t="shared" si="71"/>
        <v>0</v>
      </c>
      <c r="AV50" s="529">
        <f t="shared" si="72"/>
        <v>0</v>
      </c>
      <c r="AW50" s="529">
        <f t="shared" si="73"/>
        <v>0</v>
      </c>
      <c r="AX50" s="529">
        <f t="shared" si="74"/>
        <v>0</v>
      </c>
      <c r="AY50" s="529">
        <f t="shared" si="75"/>
        <v>0</v>
      </c>
      <c r="AZ50" s="167">
        <f t="shared" si="76"/>
        <v>0</v>
      </c>
      <c r="BA50" s="87"/>
      <c r="BB50" s="87"/>
      <c r="BC50" s="87"/>
      <c r="BD50" s="87"/>
      <c r="BE50" s="87"/>
      <c r="BF50" s="87"/>
      <c r="BG50" s="87"/>
      <c r="BH50" s="87"/>
      <c r="BI50" s="87"/>
      <c r="BJ50" s="87"/>
      <c r="BK50" s="87"/>
      <c r="BL50" s="87"/>
      <c r="BM50" s="87"/>
      <c r="BN50" s="87"/>
      <c r="BO50" s="87"/>
      <c r="BP50" s="87"/>
      <c r="BQ50" s="87"/>
      <c r="BR50" s="87"/>
      <c r="BS50" s="87"/>
      <c r="BT50" s="87"/>
      <c r="BU50" s="87"/>
    </row>
    <row r="51" spans="1:73" customFormat="1" ht="15">
      <c r="A51" s="105"/>
      <c r="B51" s="530"/>
      <c r="C51" s="531" t="s">
        <v>143</v>
      </c>
      <c r="D51" s="525">
        <v>18.652999999999999</v>
      </c>
      <c r="E51" s="525">
        <v>16.61</v>
      </c>
      <c r="F51" s="532">
        <f t="shared" si="64"/>
        <v>2.25</v>
      </c>
      <c r="G51" s="530">
        <v>1200</v>
      </c>
      <c r="H51" s="533">
        <v>1625</v>
      </c>
      <c r="I51" s="533">
        <v>1625</v>
      </c>
      <c r="J51" s="168"/>
      <c r="K51" s="169">
        <v>450</v>
      </c>
      <c r="L51" s="170">
        <f t="shared" si="51"/>
        <v>2.5434000000000001</v>
      </c>
      <c r="M51" s="532">
        <f t="shared" si="66"/>
        <v>2.5457142857142858</v>
      </c>
      <c r="N51" s="171">
        <f t="shared" si="65"/>
        <v>2.2628571428571429</v>
      </c>
      <c r="O51" s="141"/>
      <c r="P51" s="172">
        <f t="shared" si="53"/>
        <v>0</v>
      </c>
      <c r="Q51" s="87"/>
      <c r="R51" s="87"/>
      <c r="S51" s="87"/>
      <c r="T51" s="87"/>
      <c r="U51" s="87"/>
      <c r="V51" s="87"/>
      <c r="W51" s="87"/>
      <c r="X51" s="87"/>
      <c r="Y51" s="87"/>
      <c r="Z51" s="87"/>
      <c r="AA51" s="87"/>
      <c r="AB51" s="87"/>
      <c r="AC51" s="87"/>
      <c r="AD51" s="87"/>
      <c r="AE51" s="87"/>
      <c r="AF51" s="87"/>
      <c r="AG51" s="166">
        <v>0</v>
      </c>
      <c r="AH51" s="529">
        <v>0</v>
      </c>
      <c r="AI51" s="529">
        <v>1710</v>
      </c>
      <c r="AJ51" s="529">
        <v>2065</v>
      </c>
      <c r="AK51" s="529">
        <v>2565</v>
      </c>
      <c r="AL51" s="529">
        <v>2828</v>
      </c>
      <c r="AM51" s="529">
        <v>3600</v>
      </c>
      <c r="AN51" s="529">
        <v>4660</v>
      </c>
      <c r="AO51" s="529">
        <v>5415</v>
      </c>
      <c r="AP51" s="167">
        <v>5680</v>
      </c>
      <c r="AQ51" s="166">
        <f t="shared" si="67"/>
        <v>0</v>
      </c>
      <c r="AR51" s="529">
        <f t="shared" si="68"/>
        <v>0</v>
      </c>
      <c r="AS51" s="529">
        <f t="shared" si="69"/>
        <v>1710</v>
      </c>
      <c r="AT51" s="529">
        <f t="shared" si="70"/>
        <v>0</v>
      </c>
      <c r="AU51" s="529">
        <f t="shared" si="71"/>
        <v>0</v>
      </c>
      <c r="AV51" s="529">
        <f t="shared" si="72"/>
        <v>0</v>
      </c>
      <c r="AW51" s="529">
        <f t="shared" si="73"/>
        <v>0</v>
      </c>
      <c r="AX51" s="529">
        <f t="shared" si="74"/>
        <v>0</v>
      </c>
      <c r="AY51" s="529">
        <f t="shared" si="75"/>
        <v>0</v>
      </c>
      <c r="AZ51" s="167">
        <f t="shared" si="76"/>
        <v>0</v>
      </c>
      <c r="BA51" s="87"/>
      <c r="BB51" s="87"/>
      <c r="BC51" s="87"/>
      <c r="BD51" s="87"/>
      <c r="BE51" s="87"/>
      <c r="BF51" s="87"/>
      <c r="BG51" s="87"/>
      <c r="BH51" s="87"/>
      <c r="BI51" s="87"/>
      <c r="BJ51" s="87"/>
      <c r="BK51" s="87"/>
      <c r="BL51" s="87"/>
      <c r="BM51" s="87"/>
      <c r="BN51" s="87"/>
      <c r="BO51" s="87"/>
      <c r="BP51" s="87"/>
      <c r="BQ51" s="87"/>
      <c r="BR51" s="87"/>
      <c r="BS51" s="87"/>
      <c r="BT51" s="87"/>
      <c r="BU51" s="87"/>
    </row>
    <row r="52" spans="1:73" customFormat="1" ht="15">
      <c r="A52" s="105"/>
      <c r="B52" s="531"/>
      <c r="C52" s="531" t="s">
        <v>144</v>
      </c>
      <c r="D52" s="525">
        <v>18.652999999999999</v>
      </c>
      <c r="E52" s="525">
        <v>16.61</v>
      </c>
      <c r="F52" s="532">
        <f t="shared" si="64"/>
        <v>2.25</v>
      </c>
      <c r="G52" s="530">
        <v>1200</v>
      </c>
      <c r="H52" s="533">
        <v>1625</v>
      </c>
      <c r="I52" s="533">
        <v>1625</v>
      </c>
      <c r="J52" s="168"/>
      <c r="K52" s="169">
        <v>525</v>
      </c>
      <c r="L52" s="170">
        <f t="shared" si="51"/>
        <v>2.5434000000000001</v>
      </c>
      <c r="M52" s="532">
        <f t="shared" si="66"/>
        <v>2.5457142857142858</v>
      </c>
      <c r="N52" s="171">
        <f t="shared" si="65"/>
        <v>2.2628571428571429</v>
      </c>
      <c r="O52" s="141"/>
      <c r="P52" s="172">
        <f t="shared" si="53"/>
        <v>0</v>
      </c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7"/>
      <c r="AE52" s="87"/>
      <c r="AF52" s="87"/>
      <c r="AG52" s="166">
        <v>0</v>
      </c>
      <c r="AH52" s="529">
        <v>0</v>
      </c>
      <c r="AI52" s="529">
        <v>1710</v>
      </c>
      <c r="AJ52" s="529">
        <v>2065</v>
      </c>
      <c r="AK52" s="529">
        <v>2565</v>
      </c>
      <c r="AL52" s="529">
        <v>2828</v>
      </c>
      <c r="AM52" s="529">
        <v>3600</v>
      </c>
      <c r="AN52" s="529">
        <v>4660</v>
      </c>
      <c r="AO52" s="529">
        <v>5415</v>
      </c>
      <c r="AP52" s="167">
        <v>5680</v>
      </c>
      <c r="AQ52" s="166">
        <f t="shared" si="67"/>
        <v>0</v>
      </c>
      <c r="AR52" s="529">
        <f t="shared" si="68"/>
        <v>0</v>
      </c>
      <c r="AS52" s="529">
        <f t="shared" si="69"/>
        <v>1710</v>
      </c>
      <c r="AT52" s="529">
        <f t="shared" si="70"/>
        <v>0</v>
      </c>
      <c r="AU52" s="529">
        <f t="shared" si="71"/>
        <v>0</v>
      </c>
      <c r="AV52" s="529">
        <f t="shared" si="72"/>
        <v>0</v>
      </c>
      <c r="AW52" s="529">
        <f t="shared" si="73"/>
        <v>0</v>
      </c>
      <c r="AX52" s="529">
        <f t="shared" si="74"/>
        <v>0</v>
      </c>
      <c r="AY52" s="529">
        <f t="shared" si="75"/>
        <v>0</v>
      </c>
      <c r="AZ52" s="167">
        <f t="shared" si="76"/>
        <v>0</v>
      </c>
      <c r="BA52" s="87"/>
      <c r="BB52" s="87"/>
      <c r="BC52" s="87"/>
      <c r="BD52" s="87"/>
      <c r="BE52" s="87"/>
      <c r="BF52" s="87"/>
      <c r="BG52" s="87"/>
      <c r="BH52" s="87"/>
      <c r="BI52" s="87"/>
      <c r="BJ52" s="87"/>
      <c r="BK52" s="87"/>
      <c r="BL52" s="87"/>
      <c r="BM52" s="87"/>
      <c r="BN52" s="87"/>
      <c r="BO52" s="87"/>
      <c r="BP52" s="87"/>
      <c r="BQ52" s="87"/>
      <c r="BR52" s="87"/>
      <c r="BS52" s="87"/>
      <c r="BT52" s="87"/>
      <c r="BU52" s="87"/>
    </row>
    <row r="53" spans="1:73" customFormat="1" ht="15">
      <c r="A53" s="105"/>
      <c r="B53" s="530"/>
      <c r="C53" s="531" t="s">
        <v>145</v>
      </c>
      <c r="D53" s="525">
        <v>18.652999999999999</v>
      </c>
      <c r="E53" s="525">
        <v>16.61</v>
      </c>
      <c r="F53" s="532">
        <f t="shared" si="64"/>
        <v>2.25</v>
      </c>
      <c r="G53" s="530">
        <v>1200</v>
      </c>
      <c r="H53" s="533">
        <v>1625</v>
      </c>
      <c r="I53" s="533">
        <v>1625</v>
      </c>
      <c r="J53" s="168"/>
      <c r="K53" s="169">
        <v>525</v>
      </c>
      <c r="L53" s="170">
        <f t="shared" si="51"/>
        <v>2.5434000000000001</v>
      </c>
      <c r="M53" s="532">
        <f t="shared" si="66"/>
        <v>2.5457142857142858</v>
      </c>
      <c r="N53" s="171">
        <f t="shared" si="65"/>
        <v>2.2628571428571429</v>
      </c>
      <c r="O53" s="141"/>
      <c r="P53" s="172">
        <f t="shared" si="53"/>
        <v>0</v>
      </c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7"/>
      <c r="AB53" s="87"/>
      <c r="AC53" s="87"/>
      <c r="AD53" s="87"/>
      <c r="AE53" s="87"/>
      <c r="AF53" s="87"/>
      <c r="AG53" s="166">
        <v>0</v>
      </c>
      <c r="AH53" s="529">
        <v>0</v>
      </c>
      <c r="AI53" s="529">
        <v>1710</v>
      </c>
      <c r="AJ53" s="529">
        <v>2065</v>
      </c>
      <c r="AK53" s="529">
        <v>2565</v>
      </c>
      <c r="AL53" s="529">
        <v>2828</v>
      </c>
      <c r="AM53" s="529">
        <v>3600</v>
      </c>
      <c r="AN53" s="529">
        <v>4660</v>
      </c>
      <c r="AO53" s="529">
        <v>5415</v>
      </c>
      <c r="AP53" s="167">
        <v>5680</v>
      </c>
      <c r="AQ53" s="166">
        <f t="shared" si="67"/>
        <v>0</v>
      </c>
      <c r="AR53" s="529">
        <f t="shared" si="68"/>
        <v>0</v>
      </c>
      <c r="AS53" s="529">
        <f t="shared" si="69"/>
        <v>1710</v>
      </c>
      <c r="AT53" s="529">
        <f t="shared" si="70"/>
        <v>0</v>
      </c>
      <c r="AU53" s="529">
        <f t="shared" si="71"/>
        <v>0</v>
      </c>
      <c r="AV53" s="529">
        <f t="shared" si="72"/>
        <v>0</v>
      </c>
      <c r="AW53" s="529">
        <f t="shared" si="73"/>
        <v>0</v>
      </c>
      <c r="AX53" s="529">
        <f t="shared" si="74"/>
        <v>0</v>
      </c>
      <c r="AY53" s="529">
        <f t="shared" si="75"/>
        <v>0</v>
      </c>
      <c r="AZ53" s="167">
        <f t="shared" si="76"/>
        <v>0</v>
      </c>
      <c r="BA53" s="87"/>
      <c r="BB53" s="87"/>
      <c r="BC53" s="87"/>
      <c r="BD53" s="87"/>
      <c r="BE53" s="87"/>
      <c r="BF53" s="87"/>
      <c r="BG53" s="87"/>
      <c r="BH53" s="87"/>
      <c r="BI53" s="87"/>
      <c r="BJ53" s="87"/>
      <c r="BK53" s="87"/>
      <c r="BL53" s="87"/>
      <c r="BM53" s="87"/>
      <c r="BN53" s="87"/>
      <c r="BO53" s="87"/>
      <c r="BP53" s="87"/>
      <c r="BQ53" s="87"/>
      <c r="BR53" s="87"/>
      <c r="BS53" s="87"/>
      <c r="BT53" s="87"/>
      <c r="BU53" s="87"/>
    </row>
    <row r="54" spans="1:73" customFormat="1" ht="15">
      <c r="A54" s="105"/>
      <c r="B54" s="530"/>
      <c r="C54" s="531" t="s">
        <v>146</v>
      </c>
      <c r="D54" s="525">
        <v>18.652999999999999</v>
      </c>
      <c r="E54" s="525">
        <v>16.61</v>
      </c>
      <c r="F54" s="532">
        <f t="shared" si="64"/>
        <v>2.25</v>
      </c>
      <c r="G54" s="530">
        <v>1200</v>
      </c>
      <c r="H54" s="533">
        <v>1625</v>
      </c>
      <c r="I54" s="533">
        <v>1625</v>
      </c>
      <c r="J54" s="168"/>
      <c r="K54" s="169">
        <v>525</v>
      </c>
      <c r="L54" s="170">
        <f t="shared" si="51"/>
        <v>2.5434000000000001</v>
      </c>
      <c r="M54" s="532">
        <f t="shared" si="66"/>
        <v>2.5457142857142858</v>
      </c>
      <c r="N54" s="171">
        <f t="shared" si="65"/>
        <v>2.2628571428571429</v>
      </c>
      <c r="O54" s="141"/>
      <c r="P54" s="172">
        <f t="shared" si="53"/>
        <v>0</v>
      </c>
      <c r="Q54" s="87"/>
      <c r="R54" s="87"/>
      <c r="S54" s="87"/>
      <c r="T54" s="87"/>
      <c r="U54" s="87"/>
      <c r="V54" s="87"/>
      <c r="W54" s="87"/>
      <c r="X54" s="87"/>
      <c r="Y54" s="87"/>
      <c r="Z54" s="87"/>
      <c r="AA54" s="87"/>
      <c r="AB54" s="87"/>
      <c r="AC54" s="87"/>
      <c r="AD54" s="87"/>
      <c r="AE54" s="87"/>
      <c r="AF54" s="87"/>
      <c r="AG54" s="166">
        <v>0</v>
      </c>
      <c r="AH54" s="529">
        <v>0</v>
      </c>
      <c r="AI54" s="529">
        <v>1710</v>
      </c>
      <c r="AJ54" s="529">
        <v>2065</v>
      </c>
      <c r="AK54" s="529">
        <v>2565</v>
      </c>
      <c r="AL54" s="529">
        <v>2828</v>
      </c>
      <c r="AM54" s="529">
        <v>3600</v>
      </c>
      <c r="AN54" s="529">
        <v>4660</v>
      </c>
      <c r="AO54" s="529">
        <v>5415</v>
      </c>
      <c r="AP54" s="167">
        <v>5680</v>
      </c>
      <c r="AQ54" s="166">
        <f t="shared" si="67"/>
        <v>0</v>
      </c>
      <c r="AR54" s="529">
        <f t="shared" si="68"/>
        <v>0</v>
      </c>
      <c r="AS54" s="529">
        <f t="shared" si="69"/>
        <v>1710</v>
      </c>
      <c r="AT54" s="529">
        <f t="shared" si="70"/>
        <v>0</v>
      </c>
      <c r="AU54" s="529">
        <f t="shared" si="71"/>
        <v>0</v>
      </c>
      <c r="AV54" s="529">
        <f t="shared" si="72"/>
        <v>0</v>
      </c>
      <c r="AW54" s="529">
        <f t="shared" si="73"/>
        <v>0</v>
      </c>
      <c r="AX54" s="529">
        <f t="shared" si="74"/>
        <v>0</v>
      </c>
      <c r="AY54" s="529">
        <f t="shared" si="75"/>
        <v>0</v>
      </c>
      <c r="AZ54" s="167">
        <f t="shared" si="76"/>
        <v>0</v>
      </c>
      <c r="BA54" s="87"/>
      <c r="BB54" s="87"/>
      <c r="BC54" s="87"/>
      <c r="BD54" s="87"/>
      <c r="BE54" s="87"/>
      <c r="BF54" s="87"/>
      <c r="BG54" s="87"/>
      <c r="BH54" s="87"/>
      <c r="BI54" s="87"/>
      <c r="BJ54" s="87"/>
      <c r="BK54" s="87"/>
      <c r="BL54" s="87"/>
      <c r="BM54" s="87"/>
      <c r="BN54" s="87"/>
      <c r="BO54" s="87"/>
      <c r="BP54" s="87"/>
      <c r="BQ54" s="87"/>
      <c r="BR54" s="87"/>
      <c r="BS54" s="87"/>
      <c r="BT54" s="87"/>
      <c r="BU54" s="87"/>
    </row>
    <row r="55" spans="1:73" customFormat="1" ht="15">
      <c r="A55" s="105"/>
      <c r="B55" s="530"/>
      <c r="C55" s="531" t="s">
        <v>147</v>
      </c>
      <c r="D55" s="525">
        <v>18.652999999999999</v>
      </c>
      <c r="E55" s="525">
        <v>16.61</v>
      </c>
      <c r="F55" s="532">
        <f t="shared" si="64"/>
        <v>2.25</v>
      </c>
      <c r="G55" s="530">
        <v>1800</v>
      </c>
      <c r="H55" s="533">
        <f t="shared" ref="H55:H67" si="77">IF((SUM(AQ55:AZ55))&gt;I55,SUM(AQ55:AZ55),I55)</f>
        <v>2828</v>
      </c>
      <c r="I55" s="533">
        <v>1625</v>
      </c>
      <c r="J55" s="168"/>
      <c r="K55" s="169">
        <v>900</v>
      </c>
      <c r="L55" s="170">
        <f t="shared" si="51"/>
        <v>5.7226499999999998</v>
      </c>
      <c r="M55" s="532">
        <f t="shared" si="66"/>
        <v>5.7278571428571432</v>
      </c>
      <c r="N55" s="171">
        <f t="shared" si="65"/>
        <v>2.2628571428571429</v>
      </c>
      <c r="O55" s="141"/>
      <c r="P55" s="172">
        <f t="shared" si="53"/>
        <v>0</v>
      </c>
      <c r="Q55" s="87"/>
      <c r="R55" s="87"/>
      <c r="S55" s="87"/>
      <c r="T55" s="87"/>
      <c r="U55" s="87"/>
      <c r="V55" s="87"/>
      <c r="W55" s="87"/>
      <c r="X55" s="87"/>
      <c r="Y55" s="87"/>
      <c r="Z55" s="87"/>
      <c r="AA55" s="87"/>
      <c r="AB55" s="87"/>
      <c r="AC55" s="87"/>
      <c r="AD55" s="87"/>
      <c r="AE55" s="87"/>
      <c r="AF55" s="87"/>
      <c r="AG55" s="166">
        <v>0</v>
      </c>
      <c r="AH55" s="529">
        <v>0</v>
      </c>
      <c r="AI55" s="529">
        <v>1710</v>
      </c>
      <c r="AJ55" s="529">
        <v>2065</v>
      </c>
      <c r="AK55" s="529">
        <v>2565</v>
      </c>
      <c r="AL55" s="529">
        <v>2828</v>
      </c>
      <c r="AM55" s="529">
        <v>3600</v>
      </c>
      <c r="AN55" s="529">
        <v>4660</v>
      </c>
      <c r="AO55" s="529">
        <v>5415</v>
      </c>
      <c r="AP55" s="167">
        <v>5680</v>
      </c>
      <c r="AQ55" s="166">
        <f t="shared" si="67"/>
        <v>0</v>
      </c>
      <c r="AR55" s="529">
        <f t="shared" si="68"/>
        <v>0</v>
      </c>
      <c r="AS55" s="529">
        <f t="shared" si="69"/>
        <v>0</v>
      </c>
      <c r="AT55" s="529">
        <f t="shared" si="70"/>
        <v>0</v>
      </c>
      <c r="AU55" s="529">
        <f t="shared" si="71"/>
        <v>0</v>
      </c>
      <c r="AV55" s="529">
        <f t="shared" si="72"/>
        <v>2828</v>
      </c>
      <c r="AW55" s="529">
        <f t="shared" si="73"/>
        <v>0</v>
      </c>
      <c r="AX55" s="529">
        <f t="shared" si="74"/>
        <v>0</v>
      </c>
      <c r="AY55" s="529">
        <f t="shared" si="75"/>
        <v>0</v>
      </c>
      <c r="AZ55" s="167">
        <f t="shared" si="76"/>
        <v>0</v>
      </c>
      <c r="BA55" s="87"/>
      <c r="BB55" s="87"/>
      <c r="BC55" s="87"/>
      <c r="BD55" s="87"/>
      <c r="BE55" s="87"/>
      <c r="BF55" s="87"/>
      <c r="BG55" s="87"/>
      <c r="BH55" s="87"/>
      <c r="BI55" s="87"/>
      <c r="BJ55" s="87"/>
      <c r="BK55" s="87"/>
      <c r="BL55" s="87"/>
      <c r="BM55" s="87"/>
      <c r="BN55" s="87"/>
      <c r="BO55" s="87"/>
      <c r="BP55" s="87"/>
      <c r="BQ55" s="87"/>
      <c r="BR55" s="87"/>
      <c r="BS55" s="87"/>
      <c r="BT55" s="87"/>
      <c r="BU55" s="87"/>
    </row>
    <row r="56" spans="1:73" customFormat="1" ht="15">
      <c r="A56" s="105"/>
      <c r="B56" s="530"/>
      <c r="C56" s="531" t="s">
        <v>148</v>
      </c>
      <c r="D56" s="525">
        <v>18.652999999999999</v>
      </c>
      <c r="E56" s="525">
        <v>16.61</v>
      </c>
      <c r="F56" s="532">
        <f t="shared" si="64"/>
        <v>2.25</v>
      </c>
      <c r="G56" s="530">
        <v>1800</v>
      </c>
      <c r="H56" s="533">
        <f t="shared" si="77"/>
        <v>2828</v>
      </c>
      <c r="I56" s="533">
        <v>1625</v>
      </c>
      <c r="J56" s="168"/>
      <c r="K56" s="169">
        <v>900</v>
      </c>
      <c r="L56" s="170">
        <f t="shared" si="51"/>
        <v>5.7226499999999998</v>
      </c>
      <c r="M56" s="532">
        <f t="shared" si="66"/>
        <v>5.7278571428571432</v>
      </c>
      <c r="N56" s="171">
        <f t="shared" si="65"/>
        <v>2.2628571428571429</v>
      </c>
      <c r="O56" s="141"/>
      <c r="P56" s="172">
        <f t="shared" si="53"/>
        <v>0</v>
      </c>
      <c r="Q56" s="87"/>
      <c r="R56" s="87"/>
      <c r="S56" s="87"/>
      <c r="T56" s="87"/>
      <c r="U56" s="87"/>
      <c r="V56" s="87"/>
      <c r="W56" s="87"/>
      <c r="X56" s="87"/>
      <c r="Y56" s="87"/>
      <c r="Z56" s="87"/>
      <c r="AA56" s="87"/>
      <c r="AB56" s="87"/>
      <c r="AC56" s="87"/>
      <c r="AD56" s="87"/>
      <c r="AE56" s="87"/>
      <c r="AF56" s="87"/>
      <c r="AG56" s="166">
        <v>0</v>
      </c>
      <c r="AH56" s="529">
        <v>0</v>
      </c>
      <c r="AI56" s="529">
        <v>1710</v>
      </c>
      <c r="AJ56" s="529">
        <v>2065</v>
      </c>
      <c r="AK56" s="529">
        <v>2565</v>
      </c>
      <c r="AL56" s="529">
        <v>2828</v>
      </c>
      <c r="AM56" s="529">
        <v>3600</v>
      </c>
      <c r="AN56" s="529">
        <v>4660</v>
      </c>
      <c r="AO56" s="529">
        <v>5415</v>
      </c>
      <c r="AP56" s="167">
        <v>5680</v>
      </c>
      <c r="AQ56" s="166">
        <f t="shared" si="67"/>
        <v>0</v>
      </c>
      <c r="AR56" s="529">
        <f t="shared" si="68"/>
        <v>0</v>
      </c>
      <c r="AS56" s="529">
        <f t="shared" si="69"/>
        <v>0</v>
      </c>
      <c r="AT56" s="529">
        <f t="shared" si="70"/>
        <v>0</v>
      </c>
      <c r="AU56" s="529">
        <f t="shared" si="71"/>
        <v>0</v>
      </c>
      <c r="AV56" s="529">
        <f t="shared" si="72"/>
        <v>2828</v>
      </c>
      <c r="AW56" s="529">
        <f t="shared" si="73"/>
        <v>0</v>
      </c>
      <c r="AX56" s="529">
        <f t="shared" si="74"/>
        <v>0</v>
      </c>
      <c r="AY56" s="529">
        <f t="shared" si="75"/>
        <v>0</v>
      </c>
      <c r="AZ56" s="167">
        <f t="shared" si="76"/>
        <v>0</v>
      </c>
      <c r="BA56" s="87"/>
      <c r="BB56" s="87"/>
      <c r="BC56" s="87"/>
      <c r="BD56" s="87"/>
      <c r="BE56" s="87"/>
      <c r="BF56" s="87"/>
      <c r="BG56" s="87"/>
      <c r="BH56" s="87"/>
      <c r="BI56" s="87"/>
      <c r="BJ56" s="87"/>
      <c r="BK56" s="87"/>
      <c r="BL56" s="87"/>
      <c r="BM56" s="87"/>
      <c r="BN56" s="87"/>
      <c r="BO56" s="87"/>
      <c r="BP56" s="87"/>
      <c r="BQ56" s="87"/>
      <c r="BR56" s="87"/>
      <c r="BS56" s="87"/>
      <c r="BT56" s="87"/>
      <c r="BU56" s="87"/>
    </row>
    <row r="57" spans="1:73" customFormat="1" ht="15">
      <c r="A57" s="105"/>
      <c r="B57" s="530"/>
      <c r="C57" s="531" t="s">
        <v>149</v>
      </c>
      <c r="D57" s="525">
        <v>18.652999999999999</v>
      </c>
      <c r="E57" s="525">
        <v>16.61</v>
      </c>
      <c r="F57" s="532">
        <f t="shared" si="64"/>
        <v>2.25</v>
      </c>
      <c r="G57" s="530">
        <v>1800</v>
      </c>
      <c r="H57" s="533">
        <f t="shared" si="77"/>
        <v>2828</v>
      </c>
      <c r="I57" s="533">
        <v>1625</v>
      </c>
      <c r="J57" s="168"/>
      <c r="K57" s="169">
        <v>900</v>
      </c>
      <c r="L57" s="170">
        <f t="shared" si="51"/>
        <v>5.7226499999999998</v>
      </c>
      <c r="M57" s="532">
        <f t="shared" si="66"/>
        <v>5.7278571428571432</v>
      </c>
      <c r="N57" s="171">
        <f t="shared" si="65"/>
        <v>2.2628571428571429</v>
      </c>
      <c r="O57" s="141"/>
      <c r="P57" s="172">
        <f t="shared" si="53"/>
        <v>0</v>
      </c>
      <c r="Q57" s="87"/>
      <c r="R57" s="87"/>
      <c r="S57" s="87"/>
      <c r="T57" s="87"/>
      <c r="U57" s="87"/>
      <c r="V57" s="87"/>
      <c r="W57" s="87"/>
      <c r="X57" s="87"/>
      <c r="Y57" s="87"/>
      <c r="Z57" s="87"/>
      <c r="AA57" s="87"/>
      <c r="AB57" s="87"/>
      <c r="AC57" s="87"/>
      <c r="AD57" s="87"/>
      <c r="AE57" s="87"/>
      <c r="AF57" s="87"/>
      <c r="AG57" s="166">
        <v>0</v>
      </c>
      <c r="AH57" s="529">
        <v>0</v>
      </c>
      <c r="AI57" s="529">
        <v>1710</v>
      </c>
      <c r="AJ57" s="529">
        <v>2065</v>
      </c>
      <c r="AK57" s="529">
        <v>2565</v>
      </c>
      <c r="AL57" s="529">
        <v>2828</v>
      </c>
      <c r="AM57" s="529">
        <v>3600</v>
      </c>
      <c r="AN57" s="529">
        <v>4660</v>
      </c>
      <c r="AO57" s="529">
        <v>5415</v>
      </c>
      <c r="AP57" s="167">
        <v>5680</v>
      </c>
      <c r="AQ57" s="166">
        <f t="shared" si="67"/>
        <v>0</v>
      </c>
      <c r="AR57" s="529">
        <f t="shared" si="68"/>
        <v>0</v>
      </c>
      <c r="AS57" s="529">
        <f t="shared" si="69"/>
        <v>0</v>
      </c>
      <c r="AT57" s="529">
        <f t="shared" si="70"/>
        <v>0</v>
      </c>
      <c r="AU57" s="529">
        <f t="shared" si="71"/>
        <v>0</v>
      </c>
      <c r="AV57" s="529">
        <f t="shared" si="72"/>
        <v>2828</v>
      </c>
      <c r="AW57" s="529">
        <f t="shared" si="73"/>
        <v>0</v>
      </c>
      <c r="AX57" s="529">
        <f t="shared" si="74"/>
        <v>0</v>
      </c>
      <c r="AY57" s="529">
        <f t="shared" si="75"/>
        <v>0</v>
      </c>
      <c r="AZ57" s="167">
        <f t="shared" si="76"/>
        <v>0</v>
      </c>
      <c r="BA57" s="87"/>
      <c r="BB57" s="87"/>
      <c r="BC57" s="87"/>
      <c r="BD57" s="87"/>
      <c r="BE57" s="87"/>
      <c r="BF57" s="87"/>
      <c r="BG57" s="87"/>
      <c r="BH57" s="87"/>
      <c r="BI57" s="87"/>
      <c r="BJ57" s="87"/>
      <c r="BK57" s="87"/>
      <c r="BL57" s="87"/>
      <c r="BM57" s="87"/>
      <c r="BN57" s="87"/>
      <c r="BO57" s="87"/>
      <c r="BP57" s="87"/>
      <c r="BQ57" s="87"/>
      <c r="BR57" s="87"/>
      <c r="BS57" s="87"/>
      <c r="BT57" s="87"/>
      <c r="BU57" s="87"/>
    </row>
    <row r="58" spans="1:73" customFormat="1" ht="15">
      <c r="A58" s="105"/>
      <c r="B58" s="531"/>
      <c r="C58" s="531" t="s">
        <v>150</v>
      </c>
      <c r="D58" s="525">
        <v>18.652999999999999</v>
      </c>
      <c r="E58" s="525">
        <v>16.61</v>
      </c>
      <c r="F58" s="532">
        <f t="shared" si="64"/>
        <v>2.25</v>
      </c>
      <c r="G58" s="530">
        <v>1800</v>
      </c>
      <c r="H58" s="533">
        <f t="shared" si="77"/>
        <v>2828</v>
      </c>
      <c r="I58" s="533">
        <v>1625</v>
      </c>
      <c r="J58" s="168"/>
      <c r="K58" s="169">
        <v>900</v>
      </c>
      <c r="L58" s="170">
        <f t="shared" si="51"/>
        <v>5.7226499999999998</v>
      </c>
      <c r="M58" s="532">
        <f t="shared" si="66"/>
        <v>5.7278571428571432</v>
      </c>
      <c r="N58" s="171">
        <f t="shared" si="65"/>
        <v>2.2628571428571429</v>
      </c>
      <c r="O58" s="141"/>
      <c r="P58" s="172">
        <f t="shared" si="53"/>
        <v>0</v>
      </c>
      <c r="Q58" s="87"/>
      <c r="R58" s="87"/>
      <c r="S58" s="87"/>
      <c r="T58" s="87"/>
      <c r="U58" s="87"/>
      <c r="V58" s="87"/>
      <c r="W58" s="87"/>
      <c r="X58" s="87"/>
      <c r="Y58" s="87"/>
      <c r="Z58" s="87"/>
      <c r="AA58" s="87"/>
      <c r="AB58" s="87"/>
      <c r="AC58" s="87"/>
      <c r="AD58" s="87"/>
      <c r="AE58" s="87"/>
      <c r="AF58" s="87"/>
      <c r="AG58" s="166">
        <v>0</v>
      </c>
      <c r="AH58" s="529">
        <v>0</v>
      </c>
      <c r="AI58" s="529">
        <v>1710</v>
      </c>
      <c r="AJ58" s="529">
        <v>2065</v>
      </c>
      <c r="AK58" s="529">
        <v>2565</v>
      </c>
      <c r="AL58" s="529">
        <v>2828</v>
      </c>
      <c r="AM58" s="529">
        <v>3600</v>
      </c>
      <c r="AN58" s="529">
        <v>4660</v>
      </c>
      <c r="AO58" s="529">
        <v>5415</v>
      </c>
      <c r="AP58" s="167">
        <v>5680</v>
      </c>
      <c r="AQ58" s="166">
        <f t="shared" si="67"/>
        <v>0</v>
      </c>
      <c r="AR58" s="529">
        <f t="shared" si="68"/>
        <v>0</v>
      </c>
      <c r="AS58" s="529">
        <f t="shared" si="69"/>
        <v>0</v>
      </c>
      <c r="AT58" s="529">
        <f t="shared" si="70"/>
        <v>0</v>
      </c>
      <c r="AU58" s="529">
        <f t="shared" si="71"/>
        <v>0</v>
      </c>
      <c r="AV58" s="529">
        <f t="shared" si="72"/>
        <v>2828</v>
      </c>
      <c r="AW58" s="529">
        <f t="shared" si="73"/>
        <v>0</v>
      </c>
      <c r="AX58" s="529">
        <f t="shared" si="74"/>
        <v>0</v>
      </c>
      <c r="AY58" s="529">
        <f t="shared" si="75"/>
        <v>0</v>
      </c>
      <c r="AZ58" s="167">
        <f t="shared" si="76"/>
        <v>0</v>
      </c>
      <c r="BA58" s="87"/>
      <c r="BB58" s="87"/>
      <c r="BC58" s="87"/>
      <c r="BD58" s="87"/>
      <c r="BE58" s="87"/>
      <c r="BF58" s="87"/>
      <c r="BG58" s="87"/>
      <c r="BH58" s="87"/>
      <c r="BI58" s="87"/>
      <c r="BJ58" s="87"/>
      <c r="BK58" s="87"/>
      <c r="BL58" s="87"/>
      <c r="BM58" s="87"/>
      <c r="BN58" s="87"/>
      <c r="BO58" s="87"/>
      <c r="BP58" s="87"/>
      <c r="BQ58" s="87"/>
      <c r="BR58" s="87"/>
      <c r="BS58" s="87"/>
      <c r="BT58" s="87"/>
      <c r="BU58" s="87"/>
    </row>
    <row r="59" spans="1:73" customFormat="1" ht="15">
      <c r="A59" s="105"/>
      <c r="B59" s="530"/>
      <c r="C59" s="531" t="s">
        <v>151</v>
      </c>
      <c r="D59" s="525">
        <v>18.652999999999999</v>
      </c>
      <c r="E59" s="525">
        <v>16.61</v>
      </c>
      <c r="F59" s="532">
        <f t="shared" si="64"/>
        <v>2.25</v>
      </c>
      <c r="G59" s="530">
        <v>1800</v>
      </c>
      <c r="H59" s="533">
        <f t="shared" si="77"/>
        <v>2828</v>
      </c>
      <c r="I59" s="533">
        <v>1625</v>
      </c>
      <c r="J59" s="168"/>
      <c r="K59" s="169">
        <v>900</v>
      </c>
      <c r="L59" s="170">
        <f t="shared" si="51"/>
        <v>5.7226499999999998</v>
      </c>
      <c r="M59" s="532">
        <f t="shared" si="66"/>
        <v>5.7278571428571432</v>
      </c>
      <c r="N59" s="171">
        <f t="shared" si="65"/>
        <v>2.2628571428571429</v>
      </c>
      <c r="O59" s="141"/>
      <c r="P59" s="172">
        <f t="shared" si="53"/>
        <v>0</v>
      </c>
      <c r="Q59" s="87"/>
      <c r="R59" s="87"/>
      <c r="S59" s="87"/>
      <c r="T59" s="87"/>
      <c r="U59" s="87"/>
      <c r="V59" s="87"/>
      <c r="W59" s="87"/>
      <c r="X59" s="87"/>
      <c r="Y59" s="87"/>
      <c r="Z59" s="87"/>
      <c r="AA59" s="87"/>
      <c r="AB59" s="87"/>
      <c r="AC59" s="87"/>
      <c r="AD59" s="87"/>
      <c r="AE59" s="87"/>
      <c r="AF59" s="87"/>
      <c r="AG59" s="166">
        <v>0</v>
      </c>
      <c r="AH59" s="529">
        <v>0</v>
      </c>
      <c r="AI59" s="529">
        <v>1710</v>
      </c>
      <c r="AJ59" s="529">
        <v>2065</v>
      </c>
      <c r="AK59" s="529">
        <v>2565</v>
      </c>
      <c r="AL59" s="529">
        <v>2828</v>
      </c>
      <c r="AM59" s="529">
        <v>3600</v>
      </c>
      <c r="AN59" s="529">
        <v>4660</v>
      </c>
      <c r="AO59" s="529">
        <v>5415</v>
      </c>
      <c r="AP59" s="167">
        <v>5680</v>
      </c>
      <c r="AQ59" s="166">
        <f t="shared" si="67"/>
        <v>0</v>
      </c>
      <c r="AR59" s="529">
        <f t="shared" si="68"/>
        <v>0</v>
      </c>
      <c r="AS59" s="529">
        <f t="shared" si="69"/>
        <v>0</v>
      </c>
      <c r="AT59" s="529">
        <f t="shared" si="70"/>
        <v>0</v>
      </c>
      <c r="AU59" s="529">
        <f t="shared" si="71"/>
        <v>0</v>
      </c>
      <c r="AV59" s="529">
        <f t="shared" si="72"/>
        <v>2828</v>
      </c>
      <c r="AW59" s="529">
        <f t="shared" si="73"/>
        <v>0</v>
      </c>
      <c r="AX59" s="529">
        <f t="shared" si="74"/>
        <v>0</v>
      </c>
      <c r="AY59" s="529">
        <f t="shared" si="75"/>
        <v>0</v>
      </c>
      <c r="AZ59" s="167">
        <f t="shared" si="76"/>
        <v>0</v>
      </c>
      <c r="BA59" s="87"/>
      <c r="BB59" s="87"/>
      <c r="BC59" s="87"/>
      <c r="BD59" s="87"/>
      <c r="BE59" s="87"/>
      <c r="BF59" s="87"/>
      <c r="BG59" s="87"/>
      <c r="BH59" s="87"/>
      <c r="BI59" s="87"/>
      <c r="BJ59" s="87"/>
      <c r="BK59" s="87"/>
      <c r="BL59" s="87"/>
      <c r="BM59" s="87"/>
      <c r="BN59" s="87"/>
      <c r="BO59" s="87"/>
      <c r="BP59" s="87"/>
      <c r="BQ59" s="87"/>
      <c r="BR59" s="87"/>
      <c r="BS59" s="87"/>
      <c r="BT59" s="87"/>
      <c r="BU59" s="87"/>
    </row>
    <row r="60" spans="1:73" customFormat="1" ht="15">
      <c r="A60" s="105"/>
      <c r="B60" s="530"/>
      <c r="C60" s="531" t="s">
        <v>152</v>
      </c>
      <c r="D60" s="525">
        <v>18.652999999999999</v>
      </c>
      <c r="E60" s="525">
        <v>16.61</v>
      </c>
      <c r="F60" s="532">
        <f t="shared" si="64"/>
        <v>2.25</v>
      </c>
      <c r="G60" s="530">
        <v>1800</v>
      </c>
      <c r="H60" s="533">
        <f t="shared" si="77"/>
        <v>2828</v>
      </c>
      <c r="I60" s="533">
        <v>1625</v>
      </c>
      <c r="J60" s="168"/>
      <c r="K60" s="169">
        <v>900</v>
      </c>
      <c r="L60" s="170">
        <f t="shared" si="51"/>
        <v>5.7226499999999998</v>
      </c>
      <c r="M60" s="532">
        <f t="shared" si="66"/>
        <v>5.7278571428571432</v>
      </c>
      <c r="N60" s="171">
        <f t="shared" si="65"/>
        <v>2.2628571428571429</v>
      </c>
      <c r="O60" s="141"/>
      <c r="P60" s="172">
        <f t="shared" si="53"/>
        <v>0</v>
      </c>
      <c r="Q60" s="87"/>
      <c r="R60" s="87"/>
      <c r="S60" s="87"/>
      <c r="T60" s="87"/>
      <c r="U60" s="87"/>
      <c r="V60" s="87"/>
      <c r="W60" s="87"/>
      <c r="X60" s="87"/>
      <c r="Y60" s="87"/>
      <c r="Z60" s="87"/>
      <c r="AA60" s="87"/>
      <c r="AB60" s="87"/>
      <c r="AC60" s="87"/>
      <c r="AD60" s="87"/>
      <c r="AE60" s="87"/>
      <c r="AF60" s="87"/>
      <c r="AG60" s="166">
        <v>0</v>
      </c>
      <c r="AH60" s="529">
        <v>0</v>
      </c>
      <c r="AI60" s="529">
        <v>1710</v>
      </c>
      <c r="AJ60" s="529">
        <v>2065</v>
      </c>
      <c r="AK60" s="529">
        <v>2565</v>
      </c>
      <c r="AL60" s="529">
        <v>2828</v>
      </c>
      <c r="AM60" s="529">
        <v>3600</v>
      </c>
      <c r="AN60" s="529">
        <v>4660</v>
      </c>
      <c r="AO60" s="529">
        <v>5415</v>
      </c>
      <c r="AP60" s="167">
        <v>5680</v>
      </c>
      <c r="AQ60" s="166">
        <f t="shared" si="67"/>
        <v>0</v>
      </c>
      <c r="AR60" s="529">
        <f t="shared" si="68"/>
        <v>0</v>
      </c>
      <c r="AS60" s="529">
        <f t="shared" si="69"/>
        <v>0</v>
      </c>
      <c r="AT60" s="529">
        <f t="shared" si="70"/>
        <v>0</v>
      </c>
      <c r="AU60" s="529">
        <f t="shared" si="71"/>
        <v>0</v>
      </c>
      <c r="AV60" s="529">
        <f t="shared" si="72"/>
        <v>2828</v>
      </c>
      <c r="AW60" s="529">
        <f t="shared" si="73"/>
        <v>0</v>
      </c>
      <c r="AX60" s="529">
        <f t="shared" si="74"/>
        <v>0</v>
      </c>
      <c r="AY60" s="529">
        <f t="shared" si="75"/>
        <v>0</v>
      </c>
      <c r="AZ60" s="167">
        <f t="shared" si="76"/>
        <v>0</v>
      </c>
      <c r="BA60" s="87"/>
      <c r="BB60" s="87"/>
      <c r="BC60" s="87"/>
      <c r="BD60" s="87"/>
      <c r="BE60" s="87"/>
      <c r="BF60" s="87"/>
      <c r="BG60" s="87"/>
      <c r="BH60" s="87"/>
      <c r="BI60" s="87"/>
      <c r="BJ60" s="87"/>
      <c r="BK60" s="87"/>
      <c r="BL60" s="87"/>
      <c r="BM60" s="87"/>
      <c r="BN60" s="87"/>
      <c r="BO60" s="87"/>
      <c r="BP60" s="87"/>
      <c r="BQ60" s="87"/>
      <c r="BR60" s="87"/>
      <c r="BS60" s="87"/>
      <c r="BT60" s="87"/>
      <c r="BU60" s="87"/>
    </row>
    <row r="61" spans="1:73" customFormat="1" ht="15">
      <c r="A61" s="105"/>
      <c r="B61" s="530"/>
      <c r="C61" s="531" t="s">
        <v>153</v>
      </c>
      <c r="D61" s="525">
        <v>18.652999999999999</v>
      </c>
      <c r="E61" s="525">
        <v>16.61</v>
      </c>
      <c r="F61" s="532">
        <f t="shared" si="64"/>
        <v>2.25</v>
      </c>
      <c r="G61" s="530">
        <v>1800</v>
      </c>
      <c r="H61" s="533">
        <f t="shared" si="77"/>
        <v>2828</v>
      </c>
      <c r="I61" s="533">
        <v>1625</v>
      </c>
      <c r="J61" s="168"/>
      <c r="K61" s="169">
        <v>900</v>
      </c>
      <c r="L61" s="170">
        <f t="shared" si="51"/>
        <v>5.7226499999999998</v>
      </c>
      <c r="M61" s="532">
        <f t="shared" si="66"/>
        <v>5.7278571428571432</v>
      </c>
      <c r="N61" s="171">
        <f t="shared" si="65"/>
        <v>2.2628571428571429</v>
      </c>
      <c r="O61" s="141"/>
      <c r="P61" s="172">
        <f t="shared" si="53"/>
        <v>0</v>
      </c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87"/>
      <c r="AD61" s="87"/>
      <c r="AE61" s="87"/>
      <c r="AF61" s="87"/>
      <c r="AG61" s="166">
        <v>0</v>
      </c>
      <c r="AH61" s="529">
        <v>0</v>
      </c>
      <c r="AI61" s="529">
        <v>1710</v>
      </c>
      <c r="AJ61" s="529">
        <v>2065</v>
      </c>
      <c r="AK61" s="529">
        <v>2565</v>
      </c>
      <c r="AL61" s="529">
        <v>2828</v>
      </c>
      <c r="AM61" s="529">
        <v>3600</v>
      </c>
      <c r="AN61" s="529">
        <v>4660</v>
      </c>
      <c r="AO61" s="529">
        <v>5415</v>
      </c>
      <c r="AP61" s="167">
        <v>5680</v>
      </c>
      <c r="AQ61" s="166">
        <f t="shared" si="67"/>
        <v>0</v>
      </c>
      <c r="AR61" s="529">
        <f t="shared" si="68"/>
        <v>0</v>
      </c>
      <c r="AS61" s="529">
        <f t="shared" si="69"/>
        <v>0</v>
      </c>
      <c r="AT61" s="529">
        <f t="shared" si="70"/>
        <v>0</v>
      </c>
      <c r="AU61" s="529">
        <f t="shared" si="71"/>
        <v>0</v>
      </c>
      <c r="AV61" s="529">
        <f t="shared" si="72"/>
        <v>2828</v>
      </c>
      <c r="AW61" s="529">
        <f t="shared" si="73"/>
        <v>0</v>
      </c>
      <c r="AX61" s="529">
        <f t="shared" si="74"/>
        <v>0</v>
      </c>
      <c r="AY61" s="529">
        <f t="shared" si="75"/>
        <v>0</v>
      </c>
      <c r="AZ61" s="167">
        <f t="shared" si="76"/>
        <v>0</v>
      </c>
      <c r="BA61" s="87"/>
      <c r="BB61" s="87"/>
      <c r="BC61" s="87"/>
      <c r="BD61" s="87"/>
      <c r="BE61" s="87"/>
      <c r="BF61" s="87"/>
      <c r="BG61" s="87"/>
      <c r="BH61" s="87"/>
      <c r="BI61" s="87"/>
      <c r="BJ61" s="87"/>
      <c r="BK61" s="87"/>
      <c r="BL61" s="87"/>
      <c r="BM61" s="87"/>
      <c r="BN61" s="87"/>
      <c r="BO61" s="87"/>
      <c r="BP61" s="87"/>
      <c r="BQ61" s="87"/>
      <c r="BR61" s="87"/>
      <c r="BS61" s="87"/>
      <c r="BT61" s="87"/>
      <c r="BU61" s="87"/>
    </row>
    <row r="62" spans="1:73" customFormat="1" ht="15">
      <c r="A62" s="105"/>
      <c r="B62" s="530"/>
      <c r="C62" s="531" t="s">
        <v>154</v>
      </c>
      <c r="D62" s="525">
        <v>18.652999999999999</v>
      </c>
      <c r="E62" s="525">
        <v>16.61</v>
      </c>
      <c r="F62" s="532">
        <f t="shared" si="64"/>
        <v>2.25</v>
      </c>
      <c r="G62" s="530">
        <v>1800</v>
      </c>
      <c r="H62" s="533">
        <f t="shared" si="77"/>
        <v>2828</v>
      </c>
      <c r="I62" s="533">
        <v>1625</v>
      </c>
      <c r="J62" s="168"/>
      <c r="K62" s="169">
        <v>900</v>
      </c>
      <c r="L62" s="170">
        <f t="shared" si="51"/>
        <v>5.7226499999999998</v>
      </c>
      <c r="M62" s="532">
        <f t="shared" si="66"/>
        <v>5.7278571428571432</v>
      </c>
      <c r="N62" s="171">
        <f t="shared" si="65"/>
        <v>2.2628571428571429</v>
      </c>
      <c r="O62" s="141"/>
      <c r="P62" s="172">
        <f t="shared" si="53"/>
        <v>0</v>
      </c>
      <c r="Q62" s="87"/>
      <c r="R62" s="87"/>
      <c r="S62" s="87"/>
      <c r="T62" s="87"/>
      <c r="U62" s="87"/>
      <c r="V62" s="87"/>
      <c r="W62" s="87"/>
      <c r="X62" s="87"/>
      <c r="Y62" s="87"/>
      <c r="Z62" s="87"/>
      <c r="AA62" s="87"/>
      <c r="AB62" s="87"/>
      <c r="AC62" s="87"/>
      <c r="AD62" s="87"/>
      <c r="AE62" s="87"/>
      <c r="AF62" s="87"/>
      <c r="AG62" s="166">
        <v>0</v>
      </c>
      <c r="AH62" s="529">
        <v>0</v>
      </c>
      <c r="AI62" s="529">
        <v>1710</v>
      </c>
      <c r="AJ62" s="529">
        <v>2065</v>
      </c>
      <c r="AK62" s="529">
        <v>2565</v>
      </c>
      <c r="AL62" s="529">
        <v>2828</v>
      </c>
      <c r="AM62" s="529">
        <v>3600</v>
      </c>
      <c r="AN62" s="529">
        <v>4660</v>
      </c>
      <c r="AO62" s="529">
        <v>5415</v>
      </c>
      <c r="AP62" s="167">
        <v>5680</v>
      </c>
      <c r="AQ62" s="166">
        <f t="shared" si="67"/>
        <v>0</v>
      </c>
      <c r="AR62" s="529">
        <f t="shared" si="68"/>
        <v>0</v>
      </c>
      <c r="AS62" s="529">
        <f t="shared" si="69"/>
        <v>0</v>
      </c>
      <c r="AT62" s="529">
        <f t="shared" si="70"/>
        <v>0</v>
      </c>
      <c r="AU62" s="529">
        <f t="shared" si="71"/>
        <v>0</v>
      </c>
      <c r="AV62" s="529">
        <f t="shared" si="72"/>
        <v>2828</v>
      </c>
      <c r="AW62" s="529">
        <f t="shared" si="73"/>
        <v>0</v>
      </c>
      <c r="AX62" s="529">
        <f t="shared" si="74"/>
        <v>0</v>
      </c>
      <c r="AY62" s="529">
        <f t="shared" si="75"/>
        <v>0</v>
      </c>
      <c r="AZ62" s="167">
        <f t="shared" si="76"/>
        <v>0</v>
      </c>
      <c r="BA62" s="87"/>
      <c r="BB62" s="87"/>
      <c r="BC62" s="87"/>
      <c r="BD62" s="87"/>
      <c r="BE62" s="87"/>
      <c r="BF62" s="87"/>
      <c r="BG62" s="87"/>
      <c r="BH62" s="87"/>
      <c r="BI62" s="87"/>
      <c r="BJ62" s="87"/>
      <c r="BK62" s="87"/>
      <c r="BL62" s="87"/>
      <c r="BM62" s="87"/>
      <c r="BN62" s="87"/>
      <c r="BO62" s="87"/>
      <c r="BP62" s="87"/>
      <c r="BQ62" s="87"/>
      <c r="BR62" s="87"/>
      <c r="BS62" s="87"/>
      <c r="BT62" s="87"/>
      <c r="BU62" s="87"/>
    </row>
    <row r="63" spans="1:73" customFormat="1" ht="15">
      <c r="A63" s="105"/>
      <c r="B63" s="530"/>
      <c r="C63" s="531" t="s">
        <v>155</v>
      </c>
      <c r="D63" s="525">
        <v>18.652999999999999</v>
      </c>
      <c r="E63" s="525">
        <v>16.61</v>
      </c>
      <c r="F63" s="532">
        <f t="shared" si="64"/>
        <v>2.25</v>
      </c>
      <c r="G63" s="530">
        <v>1800</v>
      </c>
      <c r="H63" s="533">
        <f t="shared" si="77"/>
        <v>2828</v>
      </c>
      <c r="I63" s="533">
        <v>1625</v>
      </c>
      <c r="J63" s="168"/>
      <c r="K63" s="169">
        <v>900</v>
      </c>
      <c r="L63" s="170">
        <f t="shared" si="51"/>
        <v>5.7226499999999998</v>
      </c>
      <c r="M63" s="532">
        <f t="shared" si="66"/>
        <v>5.7278571428571432</v>
      </c>
      <c r="N63" s="171">
        <f t="shared" si="65"/>
        <v>2.2628571428571429</v>
      </c>
      <c r="O63" s="141"/>
      <c r="P63" s="172">
        <f t="shared" si="53"/>
        <v>0</v>
      </c>
      <c r="Q63" s="87"/>
      <c r="R63" s="87"/>
      <c r="S63" s="87"/>
      <c r="T63" s="87"/>
      <c r="U63" s="87"/>
      <c r="V63" s="87"/>
      <c r="W63" s="87"/>
      <c r="X63" s="87"/>
      <c r="Y63" s="87"/>
      <c r="Z63" s="87"/>
      <c r="AA63" s="87"/>
      <c r="AB63" s="87"/>
      <c r="AC63" s="87"/>
      <c r="AD63" s="87"/>
      <c r="AE63" s="87"/>
      <c r="AF63" s="87"/>
      <c r="AG63" s="166">
        <v>0</v>
      </c>
      <c r="AH63" s="529">
        <v>0</v>
      </c>
      <c r="AI63" s="529">
        <v>1710</v>
      </c>
      <c r="AJ63" s="529">
        <v>2065</v>
      </c>
      <c r="AK63" s="529">
        <v>2565</v>
      </c>
      <c r="AL63" s="529">
        <v>2828</v>
      </c>
      <c r="AM63" s="529">
        <v>3600</v>
      </c>
      <c r="AN63" s="529">
        <v>4660</v>
      </c>
      <c r="AO63" s="529">
        <v>5415</v>
      </c>
      <c r="AP63" s="167">
        <v>5680</v>
      </c>
      <c r="AQ63" s="166">
        <f t="shared" si="67"/>
        <v>0</v>
      </c>
      <c r="AR63" s="529">
        <f t="shared" si="68"/>
        <v>0</v>
      </c>
      <c r="AS63" s="529">
        <f t="shared" si="69"/>
        <v>0</v>
      </c>
      <c r="AT63" s="529">
        <f t="shared" si="70"/>
        <v>0</v>
      </c>
      <c r="AU63" s="529">
        <f t="shared" si="71"/>
        <v>0</v>
      </c>
      <c r="AV63" s="529">
        <f t="shared" si="72"/>
        <v>2828</v>
      </c>
      <c r="AW63" s="529">
        <f t="shared" si="73"/>
        <v>0</v>
      </c>
      <c r="AX63" s="529">
        <f t="shared" si="74"/>
        <v>0</v>
      </c>
      <c r="AY63" s="529">
        <f t="shared" si="75"/>
        <v>0</v>
      </c>
      <c r="AZ63" s="167">
        <f t="shared" si="76"/>
        <v>0</v>
      </c>
      <c r="BA63" s="87"/>
      <c r="BB63" s="87"/>
      <c r="BC63" s="87"/>
      <c r="BD63" s="87"/>
      <c r="BE63" s="87"/>
      <c r="BF63" s="87"/>
      <c r="BG63" s="87"/>
      <c r="BH63" s="87"/>
      <c r="BI63" s="87"/>
      <c r="BJ63" s="87"/>
      <c r="BK63" s="87"/>
      <c r="BL63" s="87"/>
      <c r="BM63" s="87"/>
      <c r="BN63" s="87"/>
      <c r="BO63" s="87"/>
      <c r="BP63" s="87"/>
      <c r="BQ63" s="87"/>
      <c r="BR63" s="87"/>
      <c r="BS63" s="87"/>
      <c r="BT63" s="87"/>
      <c r="BU63" s="87"/>
    </row>
    <row r="64" spans="1:73" customFormat="1" ht="15">
      <c r="A64" s="105"/>
      <c r="B64" s="531"/>
      <c r="C64" s="531" t="s">
        <v>156</v>
      </c>
      <c r="D64" s="525">
        <v>18.652999999999999</v>
      </c>
      <c r="E64" s="525">
        <v>16.61</v>
      </c>
      <c r="F64" s="532">
        <f t="shared" si="64"/>
        <v>2.25</v>
      </c>
      <c r="G64" s="530">
        <v>1800</v>
      </c>
      <c r="H64" s="533">
        <f t="shared" si="77"/>
        <v>2828</v>
      </c>
      <c r="I64" s="533">
        <v>1625</v>
      </c>
      <c r="J64" s="168"/>
      <c r="K64" s="169">
        <v>900</v>
      </c>
      <c r="L64" s="170">
        <f t="shared" si="51"/>
        <v>5.7226499999999998</v>
      </c>
      <c r="M64" s="532">
        <f t="shared" si="66"/>
        <v>5.7278571428571432</v>
      </c>
      <c r="N64" s="171">
        <f t="shared" si="65"/>
        <v>2.2628571428571429</v>
      </c>
      <c r="O64" s="141"/>
      <c r="P64" s="172">
        <f t="shared" si="53"/>
        <v>0</v>
      </c>
      <c r="Q64" s="87"/>
      <c r="R64" s="87"/>
      <c r="S64" s="87"/>
      <c r="T64" s="87"/>
      <c r="U64" s="87"/>
      <c r="V64" s="87"/>
      <c r="W64" s="87"/>
      <c r="X64" s="87"/>
      <c r="Y64" s="87"/>
      <c r="Z64" s="87"/>
      <c r="AA64" s="87"/>
      <c r="AB64" s="87"/>
      <c r="AC64" s="87"/>
      <c r="AD64" s="87"/>
      <c r="AE64" s="87"/>
      <c r="AF64" s="87"/>
      <c r="AG64" s="166">
        <v>0</v>
      </c>
      <c r="AH64" s="529">
        <v>0</v>
      </c>
      <c r="AI64" s="529">
        <v>1710</v>
      </c>
      <c r="AJ64" s="529">
        <v>2065</v>
      </c>
      <c r="AK64" s="529">
        <v>2565</v>
      </c>
      <c r="AL64" s="529">
        <v>2828</v>
      </c>
      <c r="AM64" s="529">
        <v>3600</v>
      </c>
      <c r="AN64" s="529">
        <v>4660</v>
      </c>
      <c r="AO64" s="529">
        <v>5415</v>
      </c>
      <c r="AP64" s="167">
        <v>5680</v>
      </c>
      <c r="AQ64" s="166">
        <f t="shared" si="67"/>
        <v>0</v>
      </c>
      <c r="AR64" s="529">
        <f t="shared" si="68"/>
        <v>0</v>
      </c>
      <c r="AS64" s="529">
        <f t="shared" si="69"/>
        <v>0</v>
      </c>
      <c r="AT64" s="529">
        <f t="shared" si="70"/>
        <v>0</v>
      </c>
      <c r="AU64" s="529">
        <f t="shared" si="71"/>
        <v>0</v>
      </c>
      <c r="AV64" s="529">
        <f t="shared" si="72"/>
        <v>2828</v>
      </c>
      <c r="AW64" s="529">
        <f t="shared" si="73"/>
        <v>0</v>
      </c>
      <c r="AX64" s="529">
        <f t="shared" si="74"/>
        <v>0</v>
      </c>
      <c r="AY64" s="529">
        <f t="shared" si="75"/>
        <v>0</v>
      </c>
      <c r="AZ64" s="167">
        <f t="shared" si="76"/>
        <v>0</v>
      </c>
      <c r="BA64" s="87"/>
      <c r="BB64" s="87"/>
      <c r="BC64" s="87"/>
      <c r="BD64" s="87"/>
      <c r="BE64" s="87"/>
      <c r="BF64" s="87"/>
      <c r="BG64" s="87"/>
      <c r="BH64" s="87"/>
      <c r="BI64" s="87"/>
      <c r="BJ64" s="87"/>
      <c r="BK64" s="87"/>
      <c r="BL64" s="87"/>
      <c r="BM64" s="87"/>
      <c r="BN64" s="87"/>
      <c r="BO64" s="87"/>
      <c r="BP64" s="87"/>
      <c r="BQ64" s="87"/>
      <c r="BR64" s="87"/>
      <c r="BS64" s="87"/>
      <c r="BT64" s="87"/>
      <c r="BU64" s="87"/>
    </row>
    <row r="65" spans="1:73" customFormat="1" ht="15">
      <c r="A65" s="105"/>
      <c r="B65" s="530"/>
      <c r="C65" s="531" t="s">
        <v>157</v>
      </c>
      <c r="D65" s="525">
        <v>18.652999999999999</v>
      </c>
      <c r="E65" s="525">
        <v>16.61</v>
      </c>
      <c r="F65" s="532">
        <f t="shared" si="64"/>
        <v>2.25</v>
      </c>
      <c r="G65" s="530">
        <v>1800</v>
      </c>
      <c r="H65" s="533">
        <f t="shared" si="77"/>
        <v>2828</v>
      </c>
      <c r="I65" s="533">
        <v>1625</v>
      </c>
      <c r="J65" s="168"/>
      <c r="K65" s="169">
        <v>900</v>
      </c>
      <c r="L65" s="170">
        <f t="shared" si="51"/>
        <v>5.7226499999999998</v>
      </c>
      <c r="M65" s="532">
        <f t="shared" si="66"/>
        <v>5.7278571428571432</v>
      </c>
      <c r="N65" s="171">
        <f t="shared" si="65"/>
        <v>2.2628571428571429</v>
      </c>
      <c r="O65" s="141"/>
      <c r="P65" s="172">
        <f t="shared" si="53"/>
        <v>0</v>
      </c>
      <c r="Q65" s="87"/>
      <c r="R65" s="87"/>
      <c r="S65" s="87"/>
      <c r="T65" s="87"/>
      <c r="U65" s="87"/>
      <c r="V65" s="87"/>
      <c r="W65" s="87"/>
      <c r="X65" s="87"/>
      <c r="Y65" s="87"/>
      <c r="Z65" s="87"/>
      <c r="AA65" s="87"/>
      <c r="AB65" s="87"/>
      <c r="AC65" s="87"/>
      <c r="AD65" s="87"/>
      <c r="AE65" s="87"/>
      <c r="AF65" s="87"/>
      <c r="AG65" s="166">
        <v>0</v>
      </c>
      <c r="AH65" s="529">
        <v>0</v>
      </c>
      <c r="AI65" s="529">
        <v>1710</v>
      </c>
      <c r="AJ65" s="529">
        <v>2065</v>
      </c>
      <c r="AK65" s="529">
        <v>2565</v>
      </c>
      <c r="AL65" s="529">
        <v>2828</v>
      </c>
      <c r="AM65" s="529">
        <v>3600</v>
      </c>
      <c r="AN65" s="529">
        <v>4660</v>
      </c>
      <c r="AO65" s="529">
        <v>5415</v>
      </c>
      <c r="AP65" s="167">
        <v>5680</v>
      </c>
      <c r="AQ65" s="166">
        <f t="shared" si="67"/>
        <v>0</v>
      </c>
      <c r="AR65" s="529">
        <f t="shared" si="68"/>
        <v>0</v>
      </c>
      <c r="AS65" s="529">
        <f t="shared" si="69"/>
        <v>0</v>
      </c>
      <c r="AT65" s="529">
        <f t="shared" si="70"/>
        <v>0</v>
      </c>
      <c r="AU65" s="529">
        <f t="shared" si="71"/>
        <v>0</v>
      </c>
      <c r="AV65" s="529">
        <f t="shared" si="72"/>
        <v>2828</v>
      </c>
      <c r="AW65" s="529">
        <f t="shared" si="73"/>
        <v>0</v>
      </c>
      <c r="AX65" s="529">
        <f t="shared" si="74"/>
        <v>0</v>
      </c>
      <c r="AY65" s="529">
        <f t="shared" si="75"/>
        <v>0</v>
      </c>
      <c r="AZ65" s="167">
        <f t="shared" si="76"/>
        <v>0</v>
      </c>
      <c r="BA65" s="87"/>
      <c r="BB65" s="87"/>
      <c r="BC65" s="87"/>
      <c r="BD65" s="87"/>
      <c r="BE65" s="87"/>
      <c r="BF65" s="87"/>
      <c r="BG65" s="87"/>
      <c r="BH65" s="87"/>
      <c r="BI65" s="87"/>
      <c r="BJ65" s="87"/>
      <c r="BK65" s="87"/>
      <c r="BL65" s="87"/>
      <c r="BM65" s="87"/>
      <c r="BN65" s="87"/>
      <c r="BO65" s="87"/>
      <c r="BP65" s="87"/>
      <c r="BQ65" s="87"/>
      <c r="BR65" s="87"/>
      <c r="BS65" s="87"/>
      <c r="BT65" s="87"/>
      <c r="BU65" s="87"/>
    </row>
    <row r="66" spans="1:73" customFormat="1" ht="15">
      <c r="A66" s="105"/>
      <c r="B66" s="530"/>
      <c r="C66" s="530"/>
      <c r="D66" s="523"/>
      <c r="E66" s="523"/>
      <c r="F66" s="532">
        <f t="shared" si="64"/>
        <v>0</v>
      </c>
      <c r="G66" s="530"/>
      <c r="H66" s="533">
        <f t="shared" si="77"/>
        <v>0</v>
      </c>
      <c r="I66" s="533">
        <v>0</v>
      </c>
      <c r="J66" s="168"/>
      <c r="K66" s="169"/>
      <c r="L66" s="170">
        <f t="shared" si="51"/>
        <v>0</v>
      </c>
      <c r="M66" s="532">
        <f t="shared" si="66"/>
        <v>0</v>
      </c>
      <c r="N66" s="171">
        <f t="shared" si="65"/>
        <v>0</v>
      </c>
      <c r="O66" s="141"/>
      <c r="P66" s="172">
        <f t="shared" si="53"/>
        <v>0</v>
      </c>
      <c r="Q66" s="87"/>
      <c r="R66" s="87"/>
      <c r="S66" s="87"/>
      <c r="T66" s="87"/>
      <c r="U66" s="87"/>
      <c r="V66" s="87"/>
      <c r="W66" s="87"/>
      <c r="X66" s="87"/>
      <c r="Y66" s="87"/>
      <c r="Z66" s="87"/>
      <c r="AA66" s="87"/>
      <c r="AB66" s="87"/>
      <c r="AC66" s="87"/>
      <c r="AD66" s="87"/>
      <c r="AE66" s="87"/>
      <c r="AF66" s="87"/>
      <c r="AG66" s="166">
        <v>0</v>
      </c>
      <c r="AH66" s="529">
        <v>0</v>
      </c>
      <c r="AI66" s="529">
        <v>0</v>
      </c>
      <c r="AJ66" s="529">
        <v>0</v>
      </c>
      <c r="AK66" s="529">
        <v>0</v>
      </c>
      <c r="AL66" s="529">
        <v>0</v>
      </c>
      <c r="AM66" s="529">
        <v>0</v>
      </c>
      <c r="AN66" s="529">
        <v>0</v>
      </c>
      <c r="AO66" s="529">
        <v>0</v>
      </c>
      <c r="AP66" s="167">
        <v>0</v>
      </c>
      <c r="AQ66" s="166">
        <f t="shared" si="67"/>
        <v>0</v>
      </c>
      <c r="AR66" s="529">
        <f t="shared" si="68"/>
        <v>0</v>
      </c>
      <c r="AS66" s="529">
        <f t="shared" si="69"/>
        <v>0</v>
      </c>
      <c r="AT66" s="529">
        <f t="shared" si="70"/>
        <v>0</v>
      </c>
      <c r="AU66" s="529">
        <f t="shared" si="71"/>
        <v>0</v>
      </c>
      <c r="AV66" s="529">
        <f t="shared" si="72"/>
        <v>0</v>
      </c>
      <c r="AW66" s="529">
        <f t="shared" si="73"/>
        <v>0</v>
      </c>
      <c r="AX66" s="529">
        <f t="shared" si="74"/>
        <v>0</v>
      </c>
      <c r="AY66" s="529">
        <f t="shared" si="75"/>
        <v>0</v>
      </c>
      <c r="AZ66" s="167">
        <f t="shared" si="76"/>
        <v>0</v>
      </c>
      <c r="BA66" s="87"/>
      <c r="BB66" s="87"/>
      <c r="BC66" s="87"/>
      <c r="BD66" s="87"/>
      <c r="BE66" s="87"/>
      <c r="BF66" s="87"/>
      <c r="BG66" s="87"/>
      <c r="BH66" s="87"/>
      <c r="BI66" s="87"/>
      <c r="BJ66" s="87"/>
      <c r="BK66" s="87"/>
      <c r="BL66" s="87"/>
      <c r="BM66" s="87"/>
      <c r="BN66" s="87"/>
      <c r="BO66" s="87"/>
      <c r="BP66" s="87"/>
      <c r="BQ66" s="87"/>
      <c r="BR66" s="87"/>
      <c r="BS66" s="87"/>
      <c r="BT66" s="87"/>
      <c r="BU66" s="87"/>
    </row>
    <row r="67" spans="1:73" customFormat="1" ht="16" thickBot="1">
      <c r="A67" s="124"/>
      <c r="B67" s="173"/>
      <c r="C67" s="173"/>
      <c r="D67" s="125"/>
      <c r="E67" s="125"/>
      <c r="F67" s="174">
        <f>CEILING(D67-E67,0.25)</f>
        <v>0</v>
      </c>
      <c r="G67" s="173"/>
      <c r="H67" s="175">
        <f t="shared" si="77"/>
        <v>0</v>
      </c>
      <c r="I67" s="175">
        <v>0</v>
      </c>
      <c r="J67" s="146"/>
      <c r="K67" s="176"/>
      <c r="L67" s="177">
        <f>(G67/1000/2*G67/1000/2*3.14)*F67</f>
        <v>0</v>
      </c>
      <c r="M67" s="174">
        <f>22/7*(G67/2/1000)*(G67/2/1000)*F67</f>
        <v>0</v>
      </c>
      <c r="N67" s="178">
        <f>IF(G67&gt;0,(22/7*(1200/2/1000)*(1200/2/1000)*2),0)</f>
        <v>0</v>
      </c>
      <c r="O67" s="145"/>
      <c r="P67" s="179">
        <f t="shared" si="53"/>
        <v>0</v>
      </c>
      <c r="Q67" s="87"/>
      <c r="R67" s="87"/>
      <c r="S67" s="87"/>
      <c r="T67" s="87"/>
      <c r="U67" s="87"/>
      <c r="V67" s="87"/>
      <c r="W67" s="87"/>
      <c r="X67" s="87"/>
      <c r="Y67" s="87"/>
      <c r="Z67" s="87"/>
      <c r="AA67" s="87"/>
      <c r="AB67" s="87"/>
      <c r="AC67" s="87"/>
      <c r="AD67" s="87"/>
      <c r="AE67" s="87"/>
      <c r="AF67" s="87"/>
      <c r="AG67" s="180">
        <v>0</v>
      </c>
      <c r="AH67" s="181">
        <v>0</v>
      </c>
      <c r="AI67" s="181">
        <v>0</v>
      </c>
      <c r="AJ67" s="181">
        <v>0</v>
      </c>
      <c r="AK67" s="181">
        <v>0</v>
      </c>
      <c r="AL67" s="181">
        <v>0</v>
      </c>
      <c r="AM67" s="181">
        <v>0</v>
      </c>
      <c r="AN67" s="181">
        <v>0</v>
      </c>
      <c r="AO67" s="181">
        <v>0</v>
      </c>
      <c r="AP67" s="182">
        <v>0</v>
      </c>
      <c r="AQ67" s="180">
        <f>IF($G67=$AG$21,AG67,0)</f>
        <v>0</v>
      </c>
      <c r="AR67" s="181">
        <f>IF($G67=$AH$21,AH67,0)</f>
        <v>0</v>
      </c>
      <c r="AS67" s="181">
        <f>IF($G67=$AI$21,AI67,0)</f>
        <v>0</v>
      </c>
      <c r="AT67" s="181">
        <f>IF($G67=$AJ$21,AJ67,0)</f>
        <v>0</v>
      </c>
      <c r="AU67" s="181">
        <f>IF($G67=$AK$21,AK67,0)</f>
        <v>0</v>
      </c>
      <c r="AV67" s="181">
        <f>IF($G67=$AL$21,AL67,0)</f>
        <v>0</v>
      </c>
      <c r="AW67" s="181">
        <f>IF($G67=$AM$21,AM67,0)</f>
        <v>0</v>
      </c>
      <c r="AX67" s="181">
        <f>IF($G67=$AN$21,AN67,0)</f>
        <v>0</v>
      </c>
      <c r="AY67" s="181">
        <f>IF($G67=$AO$21,AO67,0)</f>
        <v>0</v>
      </c>
      <c r="AZ67" s="182">
        <f>IF($G67=$AP$21,AP67,0)</f>
        <v>0</v>
      </c>
      <c r="BA67" s="87"/>
      <c r="BB67" s="87"/>
      <c r="BC67" s="87"/>
      <c r="BD67" s="87"/>
      <c r="BE67" s="87"/>
      <c r="BF67" s="87"/>
      <c r="BG67" s="87"/>
      <c r="BH67" s="87"/>
      <c r="BI67" s="87"/>
      <c r="BJ67" s="87"/>
      <c r="BK67" s="87"/>
      <c r="BL67" s="87"/>
      <c r="BM67" s="87"/>
      <c r="BN67" s="87"/>
      <c r="BO67" s="87"/>
      <c r="BP67" s="87"/>
      <c r="BQ67" s="87"/>
      <c r="BR67" s="87"/>
      <c r="BS67" s="87"/>
      <c r="BT67" s="87"/>
      <c r="BU67" s="87"/>
    </row>
    <row r="68" spans="1:73" s="80" customFormat="1" ht="20" customHeight="1">
      <c r="A68" s="183">
        <f>SUM(A22:A67)</f>
        <v>0</v>
      </c>
      <c r="B68" s="534">
        <f>SUM(B22:B67)</f>
        <v>0</v>
      </c>
      <c r="C68" s="534"/>
      <c r="D68" s="534"/>
      <c r="E68" s="534"/>
      <c r="F68" s="534"/>
      <c r="G68" s="534"/>
      <c r="H68" s="535">
        <f>SUM(H22:H67)</f>
        <v>83108</v>
      </c>
      <c r="I68" s="535">
        <f>SUM(I22:I67)</f>
        <v>69875</v>
      </c>
      <c r="J68" s="534"/>
      <c r="K68" s="534"/>
      <c r="L68" s="536">
        <f>ROUND(SUM(L22:L67),0)</f>
        <v>144</v>
      </c>
      <c r="M68" s="536">
        <f>ROUND(SUM(M22:M67),0)</f>
        <v>144</v>
      </c>
      <c r="N68" s="536">
        <f>ROUND(SUM(N22:N67),0)</f>
        <v>97</v>
      </c>
      <c r="O68" s="534"/>
      <c r="P68" s="184">
        <f>ROUND(SUM(P22:P67),0)</f>
        <v>0</v>
      </c>
      <c r="Q68" s="104"/>
      <c r="R68" s="104"/>
      <c r="S68" s="104"/>
      <c r="T68" s="104"/>
      <c r="U68" s="104"/>
      <c r="V68" s="104"/>
      <c r="W68" s="104"/>
      <c r="X68" s="104"/>
      <c r="Y68" s="104"/>
      <c r="Z68" s="104"/>
      <c r="AA68" s="104"/>
      <c r="AB68" s="104"/>
      <c r="AC68" s="104"/>
      <c r="AD68" s="104"/>
      <c r="AE68" s="104"/>
      <c r="AF68" s="104"/>
      <c r="AG68" s="104"/>
      <c r="AH68" s="104"/>
      <c r="AI68" s="104"/>
      <c r="AJ68" s="104"/>
      <c r="AK68" s="104"/>
      <c r="AL68" s="104"/>
      <c r="AM68" s="104"/>
      <c r="AN68" s="104"/>
      <c r="AO68" s="104"/>
      <c r="AP68" s="104"/>
      <c r="AQ68" s="104"/>
      <c r="AR68" s="104"/>
      <c r="AS68" s="104"/>
      <c r="AT68" s="104"/>
      <c r="AU68" s="104"/>
      <c r="AV68" s="104"/>
      <c r="AW68" s="104"/>
      <c r="AX68" s="104"/>
      <c r="AY68" s="104"/>
      <c r="AZ68" s="104"/>
      <c r="BA68" s="104"/>
      <c r="BB68" s="104"/>
      <c r="BC68" s="104"/>
      <c r="BD68" s="104"/>
      <c r="BE68" s="104"/>
      <c r="BF68" s="104"/>
      <c r="BG68" s="104"/>
      <c r="BH68" s="104"/>
      <c r="BI68" s="104"/>
      <c r="BJ68" s="104"/>
      <c r="BK68" s="104"/>
      <c r="BL68" s="104"/>
      <c r="BM68" s="104"/>
      <c r="BN68" s="104"/>
      <c r="BO68" s="104"/>
      <c r="BP68" s="104"/>
      <c r="BQ68" s="104"/>
      <c r="BR68" s="104"/>
      <c r="BS68" s="104"/>
      <c r="BT68" s="104"/>
      <c r="BU68" s="104"/>
    </row>
    <row r="69" spans="1:73" s="80" customFormat="1" ht="20" customHeight="1">
      <c r="A69" s="183"/>
      <c r="B69" s="534"/>
      <c r="C69" s="534"/>
      <c r="D69" s="534"/>
      <c r="E69" s="534"/>
      <c r="F69" s="534"/>
      <c r="G69" s="534"/>
      <c r="H69" s="185">
        <f>I68</f>
        <v>69875</v>
      </c>
      <c r="I69" s="534"/>
      <c r="J69" s="534"/>
      <c r="K69" s="534"/>
      <c r="L69" s="534"/>
      <c r="M69" s="534"/>
      <c r="N69" s="534"/>
      <c r="O69" s="534" t="s">
        <v>108</v>
      </c>
      <c r="P69" s="184" t="e">
        <f>ROUND(P68/A68,-1)</f>
        <v>#DIV/0!</v>
      </c>
      <c r="Q69" s="104"/>
      <c r="R69" s="104"/>
      <c r="S69" s="104"/>
      <c r="T69" s="104"/>
      <c r="U69" s="104"/>
      <c r="V69" s="104"/>
      <c r="W69" s="104"/>
      <c r="X69" s="104"/>
      <c r="Y69" s="104"/>
      <c r="Z69" s="104"/>
      <c r="AA69" s="104"/>
      <c r="AB69" s="104"/>
      <c r="AC69" s="104"/>
      <c r="AD69" s="104"/>
      <c r="AE69" s="104"/>
      <c r="AF69" s="104"/>
      <c r="AG69" s="104"/>
      <c r="AH69" s="104"/>
      <c r="AI69" s="104"/>
      <c r="AJ69" s="104"/>
      <c r="AK69" s="104"/>
      <c r="AL69" s="104"/>
      <c r="AM69" s="104"/>
      <c r="AN69" s="104"/>
      <c r="AO69" s="104"/>
      <c r="AP69" s="104"/>
      <c r="AQ69" s="104"/>
      <c r="AR69" s="104"/>
      <c r="AS69" s="104"/>
      <c r="AT69" s="104"/>
      <c r="AU69" s="104"/>
      <c r="AV69" s="104"/>
      <c r="AW69" s="104"/>
      <c r="AX69" s="104"/>
      <c r="AY69" s="104"/>
      <c r="AZ69" s="104"/>
      <c r="BA69" s="104"/>
      <c r="BB69" s="104"/>
      <c r="BC69" s="104"/>
      <c r="BD69" s="104"/>
      <c r="BE69" s="104"/>
      <c r="BF69" s="104"/>
      <c r="BG69" s="104"/>
      <c r="BH69" s="104"/>
      <c r="BI69" s="104"/>
      <c r="BJ69" s="104"/>
      <c r="BK69" s="104"/>
      <c r="BL69" s="104"/>
      <c r="BM69" s="104"/>
      <c r="BN69" s="104"/>
      <c r="BO69" s="104"/>
      <c r="BP69" s="104"/>
      <c r="BQ69" s="104"/>
      <c r="BR69" s="104"/>
      <c r="BS69" s="104"/>
      <c r="BT69" s="104"/>
      <c r="BU69" s="104"/>
    </row>
    <row r="70" spans="1:73" s="80" customFormat="1" ht="20" customHeight="1">
      <c r="A70" s="183"/>
      <c r="B70" s="534"/>
      <c r="C70" s="534"/>
      <c r="D70" s="534"/>
      <c r="E70" s="534"/>
      <c r="F70" s="534"/>
      <c r="G70" s="534" t="s">
        <v>109</v>
      </c>
      <c r="H70" s="535">
        <f>ROUND(H68-H69,-2)</f>
        <v>13200</v>
      </c>
      <c r="I70" s="534"/>
      <c r="J70" s="534"/>
      <c r="K70" s="534"/>
      <c r="L70" s="534" t="s">
        <v>3</v>
      </c>
      <c r="M70" s="534"/>
      <c r="N70" s="534"/>
      <c r="O70" s="534"/>
      <c r="P70" s="186"/>
      <c r="Q70" s="104"/>
      <c r="R70" s="104"/>
      <c r="S70" s="104"/>
      <c r="T70" s="104"/>
      <c r="U70" s="104"/>
      <c r="V70" s="104"/>
      <c r="W70" s="104"/>
      <c r="X70" s="104"/>
      <c r="Y70" s="104"/>
      <c r="Z70" s="104"/>
      <c r="AA70" s="104"/>
      <c r="AB70" s="104"/>
      <c r="AC70" s="104"/>
      <c r="AD70" s="104"/>
      <c r="AE70" s="104"/>
      <c r="AF70" s="104"/>
      <c r="AG70" s="104"/>
      <c r="AH70" s="104"/>
      <c r="AI70" s="104"/>
      <c r="AJ70" s="104"/>
      <c r="AK70" s="104"/>
      <c r="AL70" s="104"/>
      <c r="AM70" s="104"/>
      <c r="AN70" s="104"/>
      <c r="AO70" s="104"/>
      <c r="AP70" s="104"/>
      <c r="AQ70" s="104"/>
      <c r="AR70" s="104"/>
      <c r="AS70" s="104"/>
      <c r="AT70" s="104"/>
      <c r="AU70" s="104"/>
      <c r="AV70" s="104"/>
      <c r="AW70" s="104"/>
      <c r="AX70" s="104"/>
      <c r="AY70" s="104"/>
      <c r="AZ70" s="104"/>
      <c r="BA70" s="104"/>
      <c r="BB70" s="104"/>
      <c r="BC70" s="104"/>
      <c r="BD70" s="104"/>
      <c r="BE70" s="104"/>
      <c r="BF70" s="104"/>
      <c r="BG70" s="104"/>
      <c r="BH70" s="104"/>
      <c r="BI70" s="104"/>
      <c r="BJ70" s="104"/>
      <c r="BK70" s="104"/>
      <c r="BL70" s="104"/>
      <c r="BM70" s="104"/>
      <c r="BN70" s="104"/>
      <c r="BO70" s="104"/>
      <c r="BP70" s="104"/>
      <c r="BQ70" s="104"/>
      <c r="BR70" s="104"/>
      <c r="BS70" s="104"/>
      <c r="BT70" s="104"/>
      <c r="BU70" s="104"/>
    </row>
    <row r="71" spans="1:73" s="80" customFormat="1" ht="20" customHeight="1" thickBot="1">
      <c r="A71" s="183"/>
      <c r="B71" s="534"/>
      <c r="C71" s="534"/>
      <c r="D71" s="534"/>
      <c r="E71" s="534"/>
      <c r="F71" s="534"/>
      <c r="G71" s="534" t="s">
        <v>110</v>
      </c>
      <c r="H71" s="187">
        <v>11</v>
      </c>
      <c r="I71" s="534"/>
      <c r="J71" s="534"/>
      <c r="K71" s="534"/>
      <c r="L71" s="534" t="s">
        <v>111</v>
      </c>
      <c r="M71" s="534"/>
      <c r="N71" s="534"/>
      <c r="O71" s="534"/>
      <c r="P71" s="186"/>
      <c r="Q71" s="104"/>
      <c r="R71" s="104"/>
      <c r="S71" s="104"/>
      <c r="T71" s="104"/>
      <c r="U71" s="104"/>
      <c r="V71" s="104"/>
      <c r="W71" s="104"/>
      <c r="X71" s="104"/>
      <c r="Y71" s="104"/>
      <c r="Z71" s="104"/>
      <c r="AA71" s="104"/>
      <c r="AB71" s="104"/>
      <c r="AC71" s="104"/>
      <c r="AD71" s="104"/>
      <c r="AE71" s="104"/>
      <c r="AF71" s="104"/>
      <c r="AG71" s="104"/>
      <c r="AH71" s="104"/>
      <c r="AI71" s="104"/>
      <c r="AJ71" s="104"/>
      <c r="AK71" s="104"/>
      <c r="AL71" s="104"/>
      <c r="AM71" s="104"/>
      <c r="AN71" s="104"/>
      <c r="AO71" s="104"/>
      <c r="AP71" s="104"/>
      <c r="AQ71" s="104"/>
      <c r="AR71" s="104"/>
      <c r="AS71" s="104"/>
      <c r="AT71" s="104"/>
      <c r="AU71" s="104"/>
      <c r="AV71" s="104"/>
      <c r="AW71" s="104"/>
      <c r="AX71" s="104"/>
      <c r="AY71" s="104"/>
      <c r="AZ71" s="104"/>
      <c r="BA71" s="104"/>
      <c r="BB71" s="104"/>
      <c r="BC71" s="104"/>
      <c r="BD71" s="104"/>
      <c r="BE71" s="104"/>
      <c r="BF71" s="104"/>
      <c r="BG71" s="104"/>
      <c r="BH71" s="104"/>
      <c r="BI71" s="104"/>
      <c r="BJ71" s="104"/>
      <c r="BK71" s="104"/>
      <c r="BL71" s="104"/>
      <c r="BM71" s="104"/>
      <c r="BN71" s="104"/>
      <c r="BO71" s="104"/>
      <c r="BP71" s="104"/>
      <c r="BQ71" s="104"/>
      <c r="BR71" s="104"/>
      <c r="BS71" s="104"/>
      <c r="BT71" s="104"/>
      <c r="BU71" s="104"/>
    </row>
    <row r="72" spans="1:73" s="80" customFormat="1" ht="20" customHeight="1" thickBot="1">
      <c r="A72" s="183"/>
      <c r="B72" s="534"/>
      <c r="C72" s="534"/>
      <c r="D72" s="534"/>
      <c r="E72" s="534"/>
      <c r="F72" s="534"/>
      <c r="G72" s="534" t="s">
        <v>112</v>
      </c>
      <c r="H72" s="188">
        <f>IF(H71&gt;0,H70/H71,0)</f>
        <v>1200</v>
      </c>
      <c r="I72" s="534"/>
      <c r="J72" s="534"/>
      <c r="K72" s="534"/>
      <c r="L72" s="189">
        <f>L68+AE16</f>
        <v>457</v>
      </c>
      <c r="M72" s="534"/>
      <c r="N72" s="534"/>
      <c r="O72" s="534"/>
      <c r="P72" s="186"/>
      <c r="Q72" s="104"/>
      <c r="R72" s="104"/>
      <c r="S72" s="104"/>
      <c r="T72" s="104"/>
      <c r="U72" s="104"/>
      <c r="V72" s="104"/>
      <c r="W72" s="104"/>
      <c r="X72" s="104"/>
      <c r="Y72" s="104"/>
      <c r="Z72" s="104"/>
      <c r="AA72" s="104"/>
      <c r="AB72" s="104"/>
      <c r="AC72" s="104"/>
      <c r="AD72" s="104"/>
      <c r="AE72" s="104"/>
      <c r="AF72" s="104"/>
      <c r="AG72" s="104"/>
      <c r="AH72" s="104"/>
      <c r="AI72" s="104"/>
      <c r="AJ72" s="104"/>
      <c r="AK72" s="104"/>
      <c r="AL72" s="104"/>
      <c r="AM72" s="104"/>
      <c r="AN72" s="104"/>
      <c r="AO72" s="104"/>
      <c r="AP72" s="104"/>
      <c r="AQ72" s="104"/>
      <c r="AR72" s="104"/>
      <c r="AS72" s="104"/>
      <c r="AT72" s="104"/>
      <c r="AU72" s="104"/>
      <c r="AV72" s="104"/>
      <c r="AW72" s="104"/>
      <c r="AX72" s="104"/>
      <c r="AY72" s="104"/>
      <c r="AZ72" s="104"/>
      <c r="BA72" s="104"/>
      <c r="BB72" s="104"/>
      <c r="BC72" s="104"/>
      <c r="BD72" s="104"/>
      <c r="BE72" s="104"/>
      <c r="BF72" s="104"/>
      <c r="BG72" s="104"/>
      <c r="BH72" s="104"/>
      <c r="BI72" s="104"/>
      <c r="BJ72" s="104"/>
      <c r="BK72" s="104"/>
      <c r="BL72" s="104"/>
      <c r="BM72" s="104"/>
      <c r="BN72" s="104"/>
      <c r="BO72" s="104"/>
      <c r="BP72" s="104"/>
      <c r="BQ72" s="104"/>
      <c r="BR72" s="104"/>
      <c r="BS72" s="104"/>
      <c r="BT72" s="104"/>
      <c r="BU72" s="104"/>
    </row>
    <row r="73" spans="1:73" customFormat="1" ht="15" customHeight="1">
      <c r="A73" s="190"/>
      <c r="B73" s="104"/>
      <c r="C73" s="104"/>
      <c r="D73" s="104"/>
      <c r="E73" s="104"/>
      <c r="F73" s="104"/>
      <c r="G73" s="104"/>
      <c r="H73" s="104"/>
      <c r="I73" s="104"/>
      <c r="J73" s="104"/>
      <c r="K73" s="104"/>
      <c r="L73" s="104"/>
      <c r="M73" s="104"/>
      <c r="N73" s="104"/>
      <c r="O73" s="104"/>
      <c r="P73" s="191"/>
      <c r="Q73" s="87"/>
      <c r="R73" s="87"/>
      <c r="S73" s="87"/>
      <c r="T73" s="87"/>
      <c r="U73" s="87"/>
      <c r="V73" s="87"/>
      <c r="W73" s="87"/>
      <c r="X73" s="87"/>
      <c r="Y73" s="87"/>
      <c r="Z73" s="87"/>
      <c r="AA73" s="87"/>
      <c r="AB73" s="87"/>
      <c r="AC73" s="87"/>
      <c r="AD73" s="87"/>
      <c r="AE73" s="87"/>
      <c r="AF73" s="87"/>
      <c r="AG73" s="87"/>
      <c r="AH73" s="87"/>
      <c r="AI73" s="87"/>
      <c r="AJ73" s="87"/>
      <c r="AK73" s="87"/>
      <c r="AL73" s="87"/>
      <c r="AM73" s="87"/>
      <c r="AN73" s="87"/>
      <c r="AO73" s="87"/>
      <c r="AP73" s="87"/>
      <c r="AQ73" s="87"/>
      <c r="AR73" s="87"/>
      <c r="AS73" s="87"/>
      <c r="AT73" s="87"/>
      <c r="AU73" s="87"/>
      <c r="AV73" s="87"/>
      <c r="AW73" s="87"/>
      <c r="AX73" s="87"/>
      <c r="AY73" s="87"/>
      <c r="AZ73" s="87"/>
      <c r="BA73" s="87"/>
      <c r="BB73" s="87"/>
      <c r="BC73" s="87"/>
      <c r="BD73" s="87"/>
      <c r="BE73" s="87"/>
      <c r="BF73" s="87"/>
      <c r="BG73" s="87"/>
      <c r="BH73" s="87"/>
      <c r="BI73" s="87"/>
      <c r="BJ73" s="87"/>
      <c r="BK73" s="87"/>
      <c r="BL73" s="87"/>
      <c r="BM73" s="87"/>
      <c r="BN73" s="87"/>
      <c r="BO73" s="87"/>
      <c r="BP73" s="87"/>
      <c r="BQ73" s="87"/>
      <c r="BR73" s="87"/>
      <c r="BS73" s="87"/>
      <c r="BT73" s="87"/>
      <c r="BU73" s="87"/>
    </row>
    <row r="74" spans="1:73" customFormat="1" ht="15" customHeight="1">
      <c r="A74" s="192"/>
      <c r="B74" s="193"/>
      <c r="C74" s="193"/>
      <c r="D74" s="193"/>
      <c r="E74" s="193"/>
      <c r="F74" s="193"/>
      <c r="G74" s="193"/>
      <c r="H74" s="193"/>
      <c r="I74" s="193"/>
      <c r="J74" s="193"/>
      <c r="K74" s="193"/>
      <c r="L74" s="193"/>
      <c r="M74" s="193"/>
      <c r="N74" s="193"/>
      <c r="O74" s="193"/>
      <c r="P74" s="194"/>
      <c r="Q74" s="87"/>
      <c r="R74" s="87"/>
      <c r="S74" s="87"/>
      <c r="T74" s="87"/>
      <c r="U74" s="87"/>
      <c r="V74" s="87"/>
      <c r="W74" s="87"/>
      <c r="X74" s="87"/>
      <c r="Y74" s="87"/>
      <c r="Z74" s="87"/>
      <c r="AA74" s="87"/>
      <c r="AB74" s="87"/>
      <c r="AC74" s="87"/>
      <c r="AD74" s="87"/>
      <c r="AE74" s="87"/>
      <c r="AF74" s="87"/>
      <c r="AG74" s="87"/>
      <c r="AH74" s="87"/>
      <c r="AI74" s="87"/>
      <c r="AJ74" s="87"/>
      <c r="AK74" s="87"/>
      <c r="AL74" s="87"/>
      <c r="AM74" s="87"/>
      <c r="AN74" s="87"/>
      <c r="AO74" s="87"/>
      <c r="AP74" s="87"/>
      <c r="AQ74" s="87"/>
      <c r="AR74" s="87"/>
      <c r="AS74" s="87"/>
      <c r="AT74" s="87"/>
      <c r="AU74" s="87"/>
      <c r="AV74" s="87"/>
      <c r="AW74" s="87"/>
      <c r="AX74" s="87"/>
      <c r="AY74" s="87"/>
      <c r="AZ74" s="87"/>
      <c r="BA74" s="87"/>
      <c r="BB74" s="87"/>
      <c r="BC74" s="87"/>
      <c r="BD74" s="87"/>
      <c r="BE74" s="87"/>
      <c r="BF74" s="87"/>
      <c r="BG74" s="87"/>
      <c r="BH74" s="87"/>
      <c r="BI74" s="87"/>
      <c r="BJ74" s="87"/>
      <c r="BK74" s="87"/>
      <c r="BL74" s="87"/>
      <c r="BM74" s="87"/>
      <c r="BN74" s="87"/>
      <c r="BO74" s="87"/>
      <c r="BP74" s="87"/>
      <c r="BQ74" s="87"/>
      <c r="BR74" s="87"/>
      <c r="BS74" s="87"/>
      <c r="BT74" s="87"/>
      <c r="BU74" s="87"/>
    </row>
  </sheetData>
  <mergeCells count="8">
    <mergeCell ref="BH6:BT6"/>
    <mergeCell ref="AG20:AP20"/>
    <mergeCell ref="AQ20:AZ20"/>
    <mergeCell ref="C1:D1"/>
    <mergeCell ref="J1:K1"/>
    <mergeCell ref="Q6:AC6"/>
    <mergeCell ref="AH6:AT6"/>
    <mergeCell ref="AU6:BG6"/>
  </mergeCells>
  <pageMargins left="0.75" right="0.75" top="1" bottom="1" header="0.5" footer="0.5"/>
  <pageSetup paperSize="9" orientation="portrait" verticalDpi="1200"/>
  <headerFooter alignWithMargins="0"/>
  <legacy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E051E-76FF-9141-A65F-67A9616E354F}">
  <sheetPr>
    <tabColor theme="9" tint="0.39997558519241921"/>
    <pageSetUpPr fitToPage="1"/>
  </sheetPr>
  <dimension ref="A2:J42"/>
  <sheetViews>
    <sheetView workbookViewId="0"/>
  </sheetViews>
  <sheetFormatPr baseColWidth="10" defaultColWidth="8.83203125" defaultRowHeight="15"/>
  <cols>
    <col min="1" max="1" width="37.5" customWidth="1"/>
    <col min="2" max="2" width="9.1640625" bestFit="1" customWidth="1"/>
    <col min="3" max="3" width="8.5" bestFit="1" customWidth="1"/>
    <col min="4" max="4" width="8.6640625" bestFit="1" customWidth="1"/>
    <col min="5" max="5" width="13.83203125" bestFit="1" customWidth="1"/>
    <col min="6" max="6" width="2.83203125" customWidth="1"/>
  </cols>
  <sheetData>
    <row r="2" spans="1:10" ht="24">
      <c r="A2" s="73"/>
    </row>
    <row r="3" spans="1:10" ht="24">
      <c r="A3" s="73"/>
    </row>
    <row r="4" spans="1:10" ht="24">
      <c r="A4" s="73" t="s">
        <v>459</v>
      </c>
    </row>
    <row r="6" spans="1:10">
      <c r="A6" s="537" t="s">
        <v>460</v>
      </c>
      <c r="B6" s="1207" t="s">
        <v>461</v>
      </c>
      <c r="C6" s="1208"/>
      <c r="D6" s="1208"/>
      <c r="E6" s="1209"/>
      <c r="G6" s="1207" t="s">
        <v>462</v>
      </c>
      <c r="H6" s="1208"/>
      <c r="I6" s="1208"/>
      <c r="J6" s="1209"/>
    </row>
    <row r="7" spans="1:10">
      <c r="A7" s="538" t="s">
        <v>1</v>
      </c>
      <c r="B7" s="539" t="s">
        <v>463</v>
      </c>
      <c r="C7" s="539" t="s">
        <v>464</v>
      </c>
      <c r="D7" s="540" t="s">
        <v>465</v>
      </c>
      <c r="E7" s="541" t="s">
        <v>3</v>
      </c>
      <c r="G7" s="539" t="s">
        <v>463</v>
      </c>
      <c r="H7" s="539" t="s">
        <v>464</v>
      </c>
      <c r="I7" s="540" t="s">
        <v>465</v>
      </c>
      <c r="J7" s="541" t="s">
        <v>3</v>
      </c>
    </row>
    <row r="8" spans="1:10">
      <c r="A8" s="538"/>
      <c r="B8" s="542"/>
      <c r="C8" s="539"/>
      <c r="D8" s="543"/>
      <c r="E8" s="541"/>
      <c r="G8" s="542"/>
      <c r="H8" s="539"/>
      <c r="I8" s="543"/>
      <c r="J8" s="541"/>
    </row>
    <row r="9" spans="1:10">
      <c r="A9" s="538" t="s">
        <v>466</v>
      </c>
      <c r="B9" s="542">
        <v>2.4449999999999998</v>
      </c>
      <c r="C9" s="539" t="s">
        <v>39</v>
      </c>
      <c r="D9" s="543">
        <v>58.413750000000007</v>
      </c>
      <c r="E9" s="541">
        <f>B9*D9</f>
        <v>142.82161875</v>
      </c>
      <c r="G9" s="542">
        <v>12.794999999999998</v>
      </c>
      <c r="H9" s="539" t="s">
        <v>39</v>
      </c>
      <c r="I9" s="543">
        <v>58.413750000000007</v>
      </c>
      <c r="J9" s="541">
        <f>G9*I9</f>
        <v>747.40393125000003</v>
      </c>
    </row>
    <row r="10" spans="1:10">
      <c r="A10" s="538"/>
      <c r="B10" s="542"/>
      <c r="C10" s="539"/>
      <c r="D10" s="543"/>
      <c r="E10" s="541"/>
      <c r="G10" s="542"/>
      <c r="H10" s="539"/>
      <c r="I10" s="543"/>
      <c r="J10" s="541"/>
    </row>
    <row r="11" spans="1:10">
      <c r="A11" s="544" t="s">
        <v>467</v>
      </c>
      <c r="B11" s="542">
        <v>10.35</v>
      </c>
      <c r="C11" s="539" t="s">
        <v>39</v>
      </c>
      <c r="D11" s="543">
        <v>65</v>
      </c>
      <c r="E11" s="541">
        <f>B11*D11</f>
        <v>672.75</v>
      </c>
      <c r="G11" s="542"/>
      <c r="H11" s="539"/>
      <c r="I11" s="543"/>
      <c r="J11" s="541"/>
    </row>
    <row r="12" spans="1:10">
      <c r="A12" s="538"/>
      <c r="B12" s="542"/>
      <c r="C12" s="539"/>
      <c r="D12" s="543"/>
      <c r="E12" s="541"/>
      <c r="G12" s="542"/>
      <c r="H12" s="539"/>
      <c r="I12" s="543"/>
      <c r="J12" s="541"/>
    </row>
    <row r="13" spans="1:10">
      <c r="A13" s="538"/>
      <c r="B13" s="542"/>
      <c r="C13" s="539"/>
      <c r="D13" s="543"/>
      <c r="E13" s="541"/>
      <c r="G13" s="542"/>
      <c r="H13" s="539"/>
      <c r="I13" s="543"/>
      <c r="J13" s="541"/>
    </row>
    <row r="14" spans="1:10">
      <c r="A14" s="538" t="s">
        <v>468</v>
      </c>
      <c r="B14" s="542"/>
      <c r="C14" s="539"/>
      <c r="D14" s="543"/>
      <c r="E14" s="541"/>
      <c r="G14" s="542">
        <v>55.440000000000005</v>
      </c>
      <c r="H14" s="539" t="s">
        <v>39</v>
      </c>
      <c r="I14" s="543">
        <v>4.9799999999999995</v>
      </c>
      <c r="J14" s="541">
        <f>G14*I14</f>
        <v>276.09120000000001</v>
      </c>
    </row>
    <row r="15" spans="1:10">
      <c r="A15" s="538"/>
      <c r="B15" s="542"/>
      <c r="C15" s="539"/>
      <c r="D15" s="543"/>
      <c r="E15" s="541"/>
      <c r="G15" s="542"/>
      <c r="H15" s="539"/>
      <c r="I15" s="543"/>
      <c r="J15" s="541"/>
    </row>
    <row r="16" spans="1:10">
      <c r="A16" s="538" t="s">
        <v>469</v>
      </c>
      <c r="B16" s="542"/>
      <c r="C16" s="539"/>
      <c r="D16" s="543"/>
      <c r="E16" s="541"/>
      <c r="G16" s="542">
        <v>55.440000000000005</v>
      </c>
      <c r="H16" s="539" t="s">
        <v>39</v>
      </c>
      <c r="I16" s="543">
        <v>2.415</v>
      </c>
      <c r="J16" s="541">
        <f>G16*I16</f>
        <v>133.88760000000002</v>
      </c>
    </row>
    <row r="17" spans="1:10">
      <c r="A17" s="538"/>
      <c r="B17" s="542"/>
      <c r="C17" s="539"/>
      <c r="D17" s="543"/>
      <c r="E17" s="541"/>
      <c r="G17" s="542"/>
      <c r="H17" s="539"/>
      <c r="I17" s="543"/>
      <c r="J17" s="541"/>
    </row>
    <row r="18" spans="1:10">
      <c r="A18" s="538" t="s">
        <v>470</v>
      </c>
      <c r="B18" s="542"/>
      <c r="C18" s="539"/>
      <c r="D18" s="543"/>
      <c r="E18" s="541"/>
      <c r="G18" s="542">
        <v>58.7</v>
      </c>
      <c r="H18" s="539" t="s">
        <v>39</v>
      </c>
      <c r="I18" s="543">
        <v>8.2481999999999989</v>
      </c>
      <c r="J18" s="541">
        <f>G18*I18</f>
        <v>484.16933999999998</v>
      </c>
    </row>
    <row r="19" spans="1:10">
      <c r="A19" s="538"/>
      <c r="B19" s="542"/>
      <c r="C19" s="539"/>
      <c r="D19" s="543"/>
      <c r="E19" s="541"/>
      <c r="G19" s="542"/>
      <c r="H19" s="539"/>
      <c r="I19" s="543"/>
      <c r="J19" s="541"/>
    </row>
    <row r="20" spans="1:10">
      <c r="A20" s="538" t="s">
        <v>471</v>
      </c>
      <c r="B20" s="542"/>
      <c r="C20" s="539"/>
      <c r="D20" s="543"/>
      <c r="E20" s="541"/>
      <c r="G20" s="542">
        <v>17.5</v>
      </c>
      <c r="H20" s="539" t="s">
        <v>39</v>
      </c>
      <c r="I20" s="543">
        <v>4.9361999999999995</v>
      </c>
      <c r="J20" s="541">
        <f>G20*I20</f>
        <v>86.383499999999998</v>
      </c>
    </row>
    <row r="21" spans="1:10">
      <c r="A21" s="538"/>
      <c r="B21" s="542"/>
      <c r="C21" s="539"/>
      <c r="D21" s="543"/>
      <c r="E21" s="541"/>
      <c r="G21" s="542"/>
      <c r="H21" s="539"/>
      <c r="I21" s="543"/>
      <c r="J21" s="541"/>
    </row>
    <row r="22" spans="1:10">
      <c r="A22" s="538" t="s">
        <v>472</v>
      </c>
      <c r="B22" s="542"/>
      <c r="C22" s="539"/>
      <c r="D22" s="543"/>
      <c r="E22" s="541"/>
      <c r="G22" s="542">
        <v>1</v>
      </c>
      <c r="H22" s="539" t="s">
        <v>473</v>
      </c>
      <c r="I22" s="543">
        <v>145</v>
      </c>
      <c r="J22" s="541">
        <f>G22*I22</f>
        <v>145</v>
      </c>
    </row>
    <row r="23" spans="1:10">
      <c r="A23" s="538"/>
      <c r="B23" s="542"/>
      <c r="C23" s="539"/>
      <c r="D23" s="543"/>
      <c r="E23" s="541"/>
      <c r="G23" s="542"/>
      <c r="H23" s="539"/>
      <c r="I23" s="543"/>
      <c r="J23" s="541"/>
    </row>
    <row r="24" spans="1:10">
      <c r="A24" s="538" t="s">
        <v>474</v>
      </c>
      <c r="B24" s="542"/>
      <c r="C24" s="539"/>
      <c r="D24" s="543"/>
      <c r="E24" s="541"/>
      <c r="G24" s="542">
        <v>8.8049999999999997</v>
      </c>
      <c r="H24" s="539" t="s">
        <v>18</v>
      </c>
      <c r="I24" s="543">
        <v>172.5</v>
      </c>
      <c r="J24" s="541">
        <f>G24*I24</f>
        <v>1518.8625</v>
      </c>
    </row>
    <row r="25" spans="1:10">
      <c r="A25" s="538"/>
      <c r="B25" s="542"/>
      <c r="C25" s="539"/>
      <c r="D25" s="543"/>
      <c r="E25" s="541"/>
      <c r="G25" s="542"/>
      <c r="H25" s="539"/>
      <c r="I25" s="543"/>
      <c r="J25" s="541"/>
    </row>
    <row r="26" spans="1:10">
      <c r="A26" s="544" t="s">
        <v>475</v>
      </c>
      <c r="B26" s="542">
        <v>58.7</v>
      </c>
      <c r="C26" s="545" t="s">
        <v>39</v>
      </c>
      <c r="D26" s="543">
        <v>50</v>
      </c>
      <c r="E26" s="541">
        <f>B26*D26</f>
        <v>2935</v>
      </c>
      <c r="G26" s="542"/>
      <c r="H26" s="539"/>
      <c r="I26" s="543"/>
      <c r="J26" s="541"/>
    </row>
    <row r="27" spans="1:10">
      <c r="A27" s="544"/>
      <c r="B27" s="542"/>
      <c r="C27" s="545"/>
      <c r="D27" s="543"/>
      <c r="E27" s="541"/>
      <c r="G27" s="542"/>
      <c r="H27" s="539"/>
      <c r="I27" s="543"/>
      <c r="J27" s="541"/>
    </row>
    <row r="28" spans="1:10">
      <c r="A28" s="544" t="s">
        <v>476</v>
      </c>
      <c r="B28" s="542">
        <v>55.440000000000005</v>
      </c>
      <c r="C28" s="545" t="s">
        <v>39</v>
      </c>
      <c r="D28" s="543">
        <v>15</v>
      </c>
      <c r="E28" s="541">
        <f>B28*D28</f>
        <v>831.6</v>
      </c>
      <c r="G28" s="542"/>
      <c r="H28" s="545"/>
      <c r="I28" s="543"/>
      <c r="J28" s="541"/>
    </row>
    <row r="29" spans="1:10">
      <c r="A29" s="544"/>
      <c r="B29" s="542"/>
      <c r="C29" s="545"/>
      <c r="D29" s="543"/>
      <c r="E29" s="541"/>
      <c r="G29" s="542"/>
      <c r="H29" s="545"/>
      <c r="I29" s="543"/>
      <c r="J29" s="541"/>
    </row>
    <row r="30" spans="1:10">
      <c r="A30" s="544" t="s">
        <v>477</v>
      </c>
      <c r="B30" s="542">
        <v>58.7</v>
      </c>
      <c r="C30" s="545" t="s">
        <v>39</v>
      </c>
      <c r="D30" s="543">
        <v>2.5</v>
      </c>
      <c r="E30" s="541">
        <f>B30*D30</f>
        <v>146.75</v>
      </c>
      <c r="G30" s="542"/>
      <c r="H30" s="545"/>
      <c r="I30" s="543"/>
      <c r="J30" s="541"/>
    </row>
    <row r="31" spans="1:10">
      <c r="A31" s="544"/>
      <c r="B31" s="542"/>
      <c r="C31" s="545"/>
      <c r="D31" s="543"/>
      <c r="E31" s="541"/>
      <c r="G31" s="542"/>
      <c r="H31" s="545"/>
      <c r="I31" s="543"/>
      <c r="J31" s="541"/>
    </row>
    <row r="32" spans="1:10">
      <c r="A32" s="544" t="s">
        <v>478</v>
      </c>
      <c r="B32" s="542">
        <v>17</v>
      </c>
      <c r="C32" s="545" t="s">
        <v>479</v>
      </c>
      <c r="D32" s="543">
        <v>35</v>
      </c>
      <c r="E32" s="541">
        <f>B32*D32</f>
        <v>595</v>
      </c>
      <c r="G32" s="542"/>
      <c r="H32" s="545"/>
      <c r="I32" s="543"/>
      <c r="J32" s="541"/>
    </row>
    <row r="33" spans="1:10">
      <c r="A33" s="544"/>
      <c r="B33" s="542"/>
      <c r="C33" s="545"/>
      <c r="D33" s="543"/>
      <c r="E33" s="541"/>
      <c r="G33" s="542"/>
      <c r="H33" s="545"/>
      <c r="I33" s="543"/>
      <c r="J33" s="541"/>
    </row>
    <row r="34" spans="1:10">
      <c r="A34" s="544" t="s">
        <v>480</v>
      </c>
      <c r="B34" s="542">
        <v>8</v>
      </c>
      <c r="C34" s="545" t="s">
        <v>479</v>
      </c>
      <c r="D34" s="543">
        <v>7.5</v>
      </c>
      <c r="E34" s="541">
        <f>B34*D34</f>
        <v>60</v>
      </c>
      <c r="G34" s="542"/>
      <c r="H34" s="545"/>
      <c r="I34" s="543"/>
      <c r="J34" s="541"/>
    </row>
    <row r="35" spans="1:10" ht="16" thickBot="1">
      <c r="A35" s="538"/>
      <c r="B35" s="542"/>
      <c r="C35" s="539"/>
      <c r="D35" s="543"/>
      <c r="E35" s="541" t="s">
        <v>481</v>
      </c>
      <c r="G35" s="542"/>
      <c r="H35" s="539"/>
      <c r="I35" s="543"/>
      <c r="J35" s="546" t="s">
        <v>481</v>
      </c>
    </row>
    <row r="36" spans="1:10" ht="17" thickBot="1">
      <c r="A36" s="3"/>
      <c r="B36" s="547"/>
      <c r="C36" s="548"/>
      <c r="D36" s="549" t="s">
        <v>3</v>
      </c>
      <c r="E36" s="541">
        <f>SUM(E8:E34)</f>
        <v>5383.9216187500006</v>
      </c>
      <c r="G36" s="547"/>
      <c r="H36" s="548"/>
      <c r="I36" s="549"/>
      <c r="J36" s="550">
        <f>SUM(J8:J35)</f>
        <v>3391.7980712499998</v>
      </c>
    </row>
    <row r="37" spans="1:10" ht="16" thickTop="1"/>
    <row r="38" spans="1:10" ht="24">
      <c r="D38" s="551" t="s">
        <v>482</v>
      </c>
      <c r="E38" s="552">
        <f>E36-J36</f>
        <v>1992.1235475000008</v>
      </c>
    </row>
    <row r="41" spans="1:10" ht="25" thickBot="1">
      <c r="D41" s="200"/>
      <c r="E41" s="553"/>
    </row>
    <row r="42" spans="1:10" ht="16" thickTop="1"/>
  </sheetData>
  <mergeCells count="2">
    <mergeCell ref="B6:E6"/>
    <mergeCell ref="G6:J6"/>
  </mergeCells>
  <printOptions horizontalCentered="1" verticalCentered="1"/>
  <pageMargins left="0" right="0" top="0" bottom="0" header="0.30000000000000004" footer="0.30000000000000004"/>
  <pageSetup paperSize="9" scale="89" orientation="landscape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33</vt:i4>
      </vt:variant>
      <vt:variant>
        <vt:lpstr>Named Ranges</vt:lpstr>
      </vt:variant>
      <vt:variant>
        <vt:i4>19</vt:i4>
      </vt:variant>
    </vt:vector>
  </HeadingPairs>
  <TitlesOfParts>
    <vt:vector size="52" baseType="lpstr">
      <vt:lpstr>Breakdown Summary</vt:lpstr>
      <vt:lpstr>Dwelling Mix</vt:lpstr>
      <vt:lpstr>PHDWH                         </vt:lpstr>
      <vt:lpstr>B Regs Timetable</vt:lpstr>
      <vt:lpstr>DWH </vt:lpstr>
      <vt:lpstr>BARRATT - CLASSIC PARCEL</vt:lpstr>
      <vt:lpstr>BARRATT - CONTEMPORARY PARCEL</vt:lpstr>
      <vt:lpstr>1. Affordable</vt:lpstr>
      <vt:lpstr>2. CIL</vt:lpstr>
      <vt:lpstr>3. S106</vt:lpstr>
      <vt:lpstr>4. Off Site Wks</vt:lpstr>
      <vt:lpstr>5. Cut &amp; Fill</vt:lpstr>
      <vt:lpstr>6. Additional Road</vt:lpstr>
      <vt:lpstr>7. POS</vt:lpstr>
      <vt:lpstr>8a. Foul Sewers</vt:lpstr>
      <vt:lpstr>FW Drainage Take-off</vt:lpstr>
      <vt:lpstr>8b. SW Attenuation</vt:lpstr>
      <vt:lpstr>SW Drainage Takeoff</vt:lpstr>
      <vt:lpstr>9. Abnormal Founds</vt:lpstr>
      <vt:lpstr>10. Retaining Walls</vt:lpstr>
      <vt:lpstr>11. Services</vt:lpstr>
      <vt:lpstr>12. Externals</vt:lpstr>
      <vt:lpstr>gabion calculator 3M</vt:lpstr>
      <vt:lpstr>Road Construction</vt:lpstr>
      <vt:lpstr>Footpath Construction</vt:lpstr>
      <vt:lpstr>Surface Water Sewers</vt:lpstr>
      <vt:lpstr>Foul Water Sewers</vt:lpstr>
      <vt:lpstr>Drainage N1</vt:lpstr>
      <vt:lpstr>Drainage take off N1</vt:lpstr>
      <vt:lpstr>Drainage S1</vt:lpstr>
      <vt:lpstr>Drainage take off S1</vt:lpstr>
      <vt:lpstr>Attenuation Drainage</vt:lpstr>
      <vt:lpstr>Block &amp; beam floor</vt:lpstr>
      <vt:lpstr>'1. Affordable'!Print_Area</vt:lpstr>
      <vt:lpstr>'10. Retaining Walls'!Print_Area</vt:lpstr>
      <vt:lpstr>'11. Services'!Print_Area</vt:lpstr>
      <vt:lpstr>'12. Externals'!Print_Area</vt:lpstr>
      <vt:lpstr>'2. CIL'!Print_Area</vt:lpstr>
      <vt:lpstr>'3. S106'!Print_Area</vt:lpstr>
      <vt:lpstr>'4. Off Site Wks'!Print_Area</vt:lpstr>
      <vt:lpstr>'5. Cut &amp; Fill'!Print_Area</vt:lpstr>
      <vt:lpstr>'6. Additional Road'!Print_Area</vt:lpstr>
      <vt:lpstr>'7. POS'!Print_Area</vt:lpstr>
      <vt:lpstr>'8a. Foul Sewers'!Print_Area</vt:lpstr>
      <vt:lpstr>'8b. SW Attenuation'!Print_Area</vt:lpstr>
      <vt:lpstr>'9. Abnormal Founds'!Print_Area</vt:lpstr>
      <vt:lpstr>'Breakdown Summary'!Print_Area</vt:lpstr>
      <vt:lpstr>'Drainage N1'!Print_Area</vt:lpstr>
      <vt:lpstr>'Drainage S1'!Print_Area</vt:lpstr>
      <vt:lpstr>'Drainage take off N1'!Print_Area</vt:lpstr>
      <vt:lpstr>'Drainage take off S1'!Print_Area</vt:lpstr>
      <vt:lpstr>'SW Drainage Takeoff'!Print_Area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Trippier</dc:creator>
  <cp:lastModifiedBy>chris hargreaves</cp:lastModifiedBy>
  <cp:lastPrinted>2018-11-05T11:07:04Z</cp:lastPrinted>
  <dcterms:created xsi:type="dcterms:W3CDTF">2015-01-12T11:30:12Z</dcterms:created>
  <dcterms:modified xsi:type="dcterms:W3CDTF">2024-06-10T15:39:25Z</dcterms:modified>
</cp:coreProperties>
</file>